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Assumptions" sheetId="2" state="visible" r:id="rId4"/>
    <sheet name="Year 1 monthly" sheetId="3" state="visible" r:id="rId5"/>
    <sheet name="Five year build-up" sheetId="4" state="visible" r:id="rId6"/>
  </sheets>
  <definedNames>
    <definedName function="false" hidden="false" localSheetId="3" name="_xlnm.Print_Titles" vbProcedure="false">'Five year build-up'!$4:$5</definedName>
    <definedName function="false" hidden="false" localSheetId="2" name="_xlnm.Print_Titles" vbProcedure="false">'Year 1 monthly'!$4:$4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<sst xmlns="http://schemas.openxmlformats.org/spreadsheetml/2006/main" count="174" uniqueCount="128">
  <si>
    <t xml:space="preserve">New enterprise build-up</t>
  </si>
  <si>
    <t xml:space="preserve">Farm CFO by Clunes Rural</t>
  </si>
  <si>
    <t xml:space="preserve">Version 1.0, October 2026</t>
  </si>
  <si>
    <t xml:space="preserve">What this template is for</t>
  </si>
  <si>
    <t xml:space="preserve">A five year budget for adding a new enterprise beside the existing farm, such as a breeding herd, a piggery unit or a prime lamb flock. It covers capital costs, starting stock, the build-up of numbers to full scale, margin per unit, extra overheads and labour, cash put in, and interest on the running balance. It shows the peak funding needed and the payback year. Year 1 is shown month by month because that is usually when funding is tightest.</t>
  </si>
  <si>
    <t xml:space="preserve">How to use it</t>
  </si>
  <si>
    <t xml:space="preserve">1. Go to the Assumptions sheet. Enter the enterprise, the unit (for example cows or sows), full scale, the interest rate, the cash the existing farm will put in, and the first financial year.</t>
  </si>
  <si>
    <t xml:space="preserve">2. Enter, for each year, the scale reached as a % of full scale, the margin per unit, extra overheads and labour, and stock purchased with the price per head.</t>
  </si>
  <si>
    <t xml:space="preserve">3. List the capital costs by year, and for Year 1 choose the month each one is paid. Choose the month Year 1 stock is bought and enter how Year 1 margin falls by month (the % must add to 100%).</t>
  </si>
  <si>
    <t xml:space="preserve">4. Read the Year 1 monthly and Five year build-up sheets: running balance, interest, peak funding needed and payback year.</t>
  </si>
  <si>
    <t xml:space="preserve">5. Replace every blue example figure with your own.</t>
  </si>
  <si>
    <t xml:space="preserve">How it works</t>
  </si>
  <si>
    <t xml:space="preserve">Gross margin = units x margin per unit. Units = full scale x scale reached %.</t>
  </si>
  <si>
    <t xml:space="preserve">Net cash before interest = gross margin less extra overheads, extra labour, capital costs and stock purchases.</t>
  </si>
  <si>
    <t xml:space="preserve">Running balance starts with the cash put in by the existing farm. When the balance is below zero the enterprise is borrowing, and interest is charged on it.</t>
  </si>
  <si>
    <t xml:space="preserve">Year 1 interest = borrowing at the start of each month x rate / 12. Years 2 to 5 interest = borrowing on the average of the opening and closing balance (before interest) x rate.</t>
  </si>
  <si>
    <t xml:space="preserve">Peak funding needed = the largest cumulative cash outflow (cash put in plus borrowing). Peak borrowing = the largest negative running balance.</t>
  </si>
  <si>
    <t xml:space="preserve">Payback year = the first year in which cumulative net cash (after interest, excluding the cash put in) is back to zero or better. If that is beyond Year 5, an estimate assumes the Year 5 net cash continues each year.</t>
  </si>
  <si>
    <t xml:space="preserve">Margin per unit should allow for heifers, ewe lambs or gilts kept back to build numbers, which means fewer sales in the early years.</t>
  </si>
  <si>
    <t xml:space="preserve">Amounts exclude GST.</t>
  </si>
  <si>
    <t xml:space="preserve">Colour key</t>
  </si>
  <si>
    <t xml:space="preserve">Blue text on a sand fill = input. Type your own figures over these cells.</t>
  </si>
  <si>
    <t xml:space="preserve">Black text = formula. These cells calculate automatically, so please don't type over them.</t>
  </si>
  <si>
    <t xml:space="preserve">Wheat fill = key totals.</t>
  </si>
  <si>
    <t xml:space="preserve">Amounts are in Australian dollars (AUD). Dates are dd/mm/yyyy. The year runs 1 July to 30 June.</t>
  </si>
  <si>
    <t xml:space="preserve">Version</t>
  </si>
  <si>
    <t xml:space="preserve">Need a hand?</t>
  </si>
  <si>
    <t xml:space="preserve">Need a hand? Farm CFO prepares budgets, cashflows and bank review packs at fixed prices: farmcfo.com.au/services</t>
  </si>
  <si>
    <t xml:space="preserve">Important</t>
  </si>
  <si>
    <t xml:space="preserve">General information only. This template doesn't take account of your circumstances. Farm CFO is a business name of Levelhead Capital Pty Ltd (ABN 15 703 134 918). farmcfo.com.au · 0412 759 847</t>
  </si>
  <si>
    <t xml:space="preserve">New enterprise build-up: assumptions</t>
  </si>
  <si>
    <t xml:space="preserve">Amounts in AUD excluding GST.</t>
  </si>
  <si>
    <t xml:space="preserve">Blue figures on a sand fill are inputs. Example, replace with your own: the figures shown are examples for illustration only.</t>
  </si>
  <si>
    <t xml:space="preserve">Enterprise</t>
  </si>
  <si>
    <t xml:space="preserve">Angus breeding herd beside the existing sheep and cropping farm</t>
  </si>
  <si>
    <t xml:space="preserve">Kurrajong Creek Pastoral (an invented example farm)</t>
  </si>
  <si>
    <t xml:space="preserve">Unit</t>
  </si>
  <si>
    <t xml:space="preserve">cows</t>
  </si>
  <si>
    <t xml:space="preserve">Full scale (units)</t>
  </si>
  <si>
    <t xml:space="preserve">Borrowing interest rate</t>
  </si>
  <si>
    <t xml:space="preserve">Cash put in by the existing farm (July, Year 1)</t>
  </si>
  <si>
    <t xml:space="preserve">First financial year (year ending 30 June)</t>
  </si>
  <si>
    <t xml:space="preserve">Month Year 1 stock is bought</t>
  </si>
  <si>
    <t xml:space="preserve">Oct</t>
  </si>
  <si>
    <t xml:space="preserve">Value per unit at end of Year 5 (for reference)</t>
  </si>
  <si>
    <t xml:space="preserve">By year</t>
  </si>
  <si>
    <t xml:space="preserve">Year 1</t>
  </si>
  <si>
    <t xml:space="preserve">Year 2</t>
  </si>
  <si>
    <t xml:space="preserve">Year 3</t>
  </si>
  <si>
    <t xml:space="preserve">Year 4</t>
  </si>
  <si>
    <t xml:space="preserve">Year 5</t>
  </si>
  <si>
    <t xml:space="preserve">Notes</t>
  </si>
  <si>
    <t xml:space="preserve">Financial year</t>
  </si>
  <si>
    <t xml:space="preserve">Scale reached (% of full scale)</t>
  </si>
  <si>
    <t xml:space="preserve">Margin per unit ($)</t>
  </si>
  <si>
    <t xml:space="preserve">Lower early on while females are kept back</t>
  </si>
  <si>
    <t xml:space="preserve">Extra overheads ($)</t>
  </si>
  <si>
    <t xml:space="preserve">Insurance, R&amp;M, vehicle, extra rates</t>
  </si>
  <si>
    <t xml:space="preserve">Extra labour ($)</t>
  </si>
  <si>
    <t xml:space="preserve">Casual labour, including super</t>
  </si>
  <si>
    <t xml:space="preserve">Stock purchased (head)</t>
  </si>
  <si>
    <t xml:space="preserve">Starting stock in Year 1</t>
  </si>
  <si>
    <t xml:space="preserve">Price per head purchased ($)</t>
  </si>
  <si>
    <t xml:space="preserve">Capital costs ($)</t>
  </si>
  <si>
    <t xml:space="preserve">Year 1 month</t>
  </si>
  <si>
    <t xml:space="preserve">Boundary and internal fencing</t>
  </si>
  <si>
    <t xml:space="preserve">Aug</t>
  </si>
  <si>
    <t xml:space="preserve">Water points and pipeline</t>
  </si>
  <si>
    <t xml:space="preserve">Sep</t>
  </si>
  <si>
    <t xml:space="preserve">Cattle yards and crush</t>
  </si>
  <si>
    <t xml:space="preserve">Bulls</t>
  </si>
  <si>
    <t xml:space="preserve">Nov</t>
  </si>
  <si>
    <t xml:space="preserve">4 bulls in Year 1</t>
  </si>
  <si>
    <t xml:space="preserve">Pasture establishment</t>
  </si>
  <si>
    <t xml:space="preserve">Apr</t>
  </si>
  <si>
    <t xml:space="preserve">Total capital costs</t>
  </si>
  <si>
    <t xml:space="preserve">Year 1 margin by month</t>
  </si>
  <si>
    <t xml:space="preserve">Share of Year 1 margin</t>
  </si>
  <si>
    <t xml:space="preserve">Jul</t>
  </si>
  <si>
    <t xml:space="preserve">Months when the margin is received, for example sale months</t>
  </si>
  <si>
    <t xml:space="preserve">Dec</t>
  </si>
  <si>
    <t xml:space="preserve">Jan</t>
  </si>
  <si>
    <t xml:space="preserve">Feb</t>
  </si>
  <si>
    <t xml:space="preserve">Mar</t>
  </si>
  <si>
    <t xml:space="preserve">May</t>
  </si>
  <si>
    <t xml:space="preserve">Jun</t>
  </si>
  <si>
    <t xml:space="preserve">Total (must add to 100%)</t>
  </si>
  <si>
    <t xml:space="preserve">Year 1 monthly cashflow</t>
  </si>
  <si>
    <t xml:space="preserve">Calculated from the Assumptions sheet. Amounts in AUD excluding GST.</t>
  </si>
  <si>
    <t xml:space="preserve">Year 1 total</t>
  </si>
  <si>
    <t xml:space="preserve">Gross margin</t>
  </si>
  <si>
    <t xml:space="preserve">Less extra overheads</t>
  </si>
  <si>
    <t xml:space="preserve">Less extra labour</t>
  </si>
  <si>
    <t xml:space="preserve">Net operating cash</t>
  </si>
  <si>
    <t xml:space="preserve">Less capital costs</t>
  </si>
  <si>
    <t xml:space="preserve">Less stock purchases</t>
  </si>
  <si>
    <t xml:space="preserve">Net cash before interest</t>
  </si>
  <si>
    <t xml:space="preserve">Opening balance</t>
  </si>
  <si>
    <t xml:space="preserve">Less interest on borrowing</t>
  </si>
  <si>
    <t xml:space="preserve">Closing balance</t>
  </si>
  <si>
    <t xml:space="preserve">Borrowing at month end</t>
  </si>
  <si>
    <t xml:space="preserve">Cumulative net cash (excluding cash put in)</t>
  </si>
  <si>
    <t xml:space="preserve">Lowest balance in Year 1</t>
  </si>
  <si>
    <t xml:space="preserve">Month of lowest balance</t>
  </si>
  <si>
    <t xml:space="preserve">Five year build-up</t>
  </si>
  <si>
    <t xml:space="preserve">Calculated from the Assumptions sheet. Year 1 balances come from the Year 1 monthly sheet. Amounts in AUD excluding GST.</t>
  </si>
  <si>
    <t xml:space="preserve">Item</t>
  </si>
  <si>
    <t xml:space="preserve">5 year total</t>
  </si>
  <si>
    <t xml:space="preserve">Full scale x scale reached %; total column shows Year 5</t>
  </si>
  <si>
    <t xml:space="preserve">Margin per unit</t>
  </si>
  <si>
    <t xml:space="preserve">Year 1 opens with the cash put in by the existing farm</t>
  </si>
  <si>
    <t xml:space="preserve">Year 1 from the monthly sheet; later years on the average balance</t>
  </si>
  <si>
    <t xml:space="preserve">Borrowing at year end</t>
  </si>
  <si>
    <t xml:space="preserve">Payback helper (year number once cumulative is zero or better)</t>
  </si>
  <si>
    <t xml:space="preserve">99 = not yet paid back</t>
  </si>
  <si>
    <t xml:space="preserve">Results</t>
  </si>
  <si>
    <t xml:space="preserve">Value</t>
  </si>
  <si>
    <t xml:space="preserve">Peak funding needed (cash put in plus borrowing)</t>
  </si>
  <si>
    <t xml:space="preserve">Largest cumulative cash outflow</t>
  </si>
  <si>
    <t xml:space="preserve">Peak borrowing</t>
  </si>
  <si>
    <t xml:space="preserve">After the cash put in</t>
  </si>
  <si>
    <t xml:space="preserve">Payback year</t>
  </si>
  <si>
    <t xml:space="preserve">Beyond Year 5 the estimate assumes Year 5 net cash after interest continues</t>
  </si>
  <si>
    <t xml:space="preserve">Cumulative net cash at end of Year 5</t>
  </si>
  <si>
    <t xml:space="preserve">Value of stock at end of Year 5 (for reference)</t>
  </si>
  <si>
    <t xml:space="preserve">Units x value per unit; not counted in payback</t>
  </si>
  <si>
    <t xml:space="preserve">Check: Year 1 closing balance less monthly June closing</t>
  </si>
  <si>
    <t xml:space="preserve">Should be zero. If not, check the Year 1 margin % adds to 100%.</t>
  </si>
</sst>
</file>

<file path=xl/styles.xml><?xml version="1.0" encoding="utf-8"?>
<styleSheet xmlns="http://schemas.openxmlformats.org/spreadsheetml/2006/main">
  <numFmts count="7">
    <numFmt numFmtId="164" formatCode="General"/>
    <numFmt numFmtId="165" formatCode="#,##0;\-#,##0;\-"/>
    <numFmt numFmtId="166" formatCode="0.00%"/>
    <numFmt numFmtId="167" formatCode="\$#,##0;&quot;-$&quot;#,##0;\-"/>
    <numFmt numFmtId="168" formatCode="0"/>
    <numFmt numFmtId="169" formatCode="0.0%;\-0.0%;\-"/>
    <numFmt numFmtId="170" formatCode="\$#,##0;[RED]&quot;-$&quot;#,##0;\-"/>
  </numFmts>
  <fonts count="13">
    <font>
      <sz val="11"/>
      <color theme="1"/>
      <name val="Calibri"/>
      <family val="2"/>
      <charset val="1"/>
    </font>
    <font>
      <sz val="10"/>
      <name val="Arial"/>
      <family val="0"/>
    </font>
    <font>
      <sz val="10"/>
      <name val="Arial"/>
      <family val="0"/>
    </font>
    <font>
      <sz val="10"/>
      <name val="Arial"/>
      <family val="0"/>
    </font>
    <font>
      <b val="true"/>
      <sz val="18"/>
      <color rgb="FF3F5E4A"/>
      <name val="Arial"/>
      <family val="0"/>
      <charset val="1"/>
    </font>
    <font>
      <sz val="11"/>
      <color rgb="FF6B6B6B"/>
      <name val="Arial"/>
      <family val="0"/>
      <charset val="1"/>
    </font>
    <font>
      <i val="true"/>
      <sz val="9"/>
      <color rgb="FF6B6B6B"/>
      <name val="Arial"/>
      <family val="0"/>
      <charset val="1"/>
    </font>
    <font>
      <b val="true"/>
      <sz val="10"/>
      <color rgb="FFFFFFFF"/>
      <name val="Arial"/>
      <family val="0"/>
      <charset val="1"/>
    </font>
    <font>
      <sz val="10"/>
      <name val="Arial"/>
      <family val="0"/>
      <charset val="1"/>
    </font>
    <font>
      <sz val="10"/>
      <color rgb="FF0000FF"/>
      <name val="Arial"/>
      <family val="0"/>
      <charset val="1"/>
    </font>
    <font>
      <b val="true"/>
      <sz val="10"/>
      <name val="Arial"/>
      <family val="0"/>
      <charset val="1"/>
    </font>
    <font>
      <b val="true"/>
      <sz val="14"/>
      <color rgb="FF3F5E4A"/>
      <name val="Arial"/>
      <family val="0"/>
      <charset val="1"/>
    </font>
    <font>
      <b val="true"/>
      <sz val="10"/>
      <color rgb="FF000000"/>
      <name val="Arial"/>
      <family val="0"/>
      <charset val="1"/>
    </font>
  </fonts>
  <fills count="5">
    <fill>
      <patternFill patternType="none"/>
    </fill>
    <fill>
      <patternFill patternType="gray125"/>
    </fill>
    <fill>
      <patternFill patternType="solid">
        <fgColor rgb="FF3F5E4A"/>
        <bgColor rgb="FF6B6B6B"/>
      </patternFill>
    </fill>
    <fill>
      <patternFill patternType="solid">
        <fgColor rgb="FFF7F5EE"/>
        <bgColor rgb="FFFFFFFF"/>
      </patternFill>
    </fill>
    <fill>
      <patternFill patternType="solid">
        <fgColor rgb="FFD9A93F"/>
        <bgColor rgb="FFFFCC00"/>
      </patternFill>
    </fill>
  </fills>
  <borders count="2">
    <border diagonalUp="false" diagonalDown="false">
      <left/>
      <right/>
      <top/>
      <bottom/>
      <diagonal/>
    </border>
    <border diagonalUp="false" diagonalDown="false">
      <left/>
      <right/>
      <top style="thin">
        <color rgb="FFA6A6A6"/>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0" fillId="4"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left" vertical="bottom" textRotation="0" wrapText="false" indent="0" shrinkToFit="false"/>
      <protection locked="true" hidden="false"/>
    </xf>
    <xf numFmtId="165" fontId="9" fillId="3" borderId="0" xfId="0" applyFont="true" applyBorder="false" applyAlignment="true" applyProtection="false">
      <alignment horizontal="left" vertical="bottom" textRotation="0" wrapText="false" indent="0" shrinkToFit="false"/>
      <protection locked="true" hidden="false"/>
    </xf>
    <xf numFmtId="166" fontId="9" fillId="3" borderId="0" xfId="0" applyFont="true" applyBorder="false" applyAlignment="true" applyProtection="false">
      <alignment horizontal="left" vertical="bottom" textRotation="0" wrapText="false" indent="0" shrinkToFit="false"/>
      <protection locked="true" hidden="false"/>
    </xf>
    <xf numFmtId="167" fontId="9" fillId="3" borderId="0" xfId="0" applyFont="true" applyBorder="false" applyAlignment="true" applyProtection="false">
      <alignment horizontal="left" vertical="bottom" textRotation="0" wrapText="false" indent="0" shrinkToFit="false"/>
      <protection locked="true" hidden="false"/>
    </xf>
    <xf numFmtId="168" fontId="9" fillId="3" borderId="0" xfId="0" applyFont="true" applyBorder="false" applyAlignment="true" applyProtection="false">
      <alignment horizontal="left" vertical="bottom" textRotation="0" wrapText="false" indent="0" shrinkToFit="false"/>
      <protection locked="true" hidden="false"/>
    </xf>
    <xf numFmtId="164" fontId="7" fillId="2" borderId="0" xfId="0" applyFont="true" applyBorder="false" applyAlignment="true" applyProtection="false">
      <alignment horizontal="left" vertical="center"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center"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1" shrinkToFit="false"/>
      <protection locked="true" hidden="false"/>
    </xf>
    <xf numFmtId="169" fontId="9" fillId="3" borderId="0" xfId="0" applyFont="true" applyBorder="false" applyAlignment="false" applyProtection="false">
      <alignment horizontal="general" vertical="bottom" textRotation="0" wrapText="false" indent="0" shrinkToFit="false"/>
      <protection locked="true" hidden="false"/>
    </xf>
    <xf numFmtId="167" fontId="9" fillId="3" borderId="0" xfId="0" applyFont="tru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center"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7" fontId="10" fillId="4" borderId="1" xfId="0" applyFont="true" applyBorder="true" applyAlignment="false" applyProtection="false">
      <alignment horizontal="general" vertical="bottom" textRotation="0" wrapText="false" indent="0" shrinkToFit="false"/>
      <protection locked="true" hidden="false"/>
    </xf>
    <xf numFmtId="169" fontId="10" fillId="4" borderId="1" xfId="0" applyFont="true" applyBorder="tru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70" fontId="12" fillId="0" borderId="1" xfId="0" applyFont="true" applyBorder="tru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right"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1"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5E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D9A93F"/>
      <rgbColor rgb="FFFF6600"/>
      <rgbColor rgb="FF6B6B6B"/>
      <rgbColor rgb="FFA6A6A6"/>
      <rgbColor rgb="FF003366"/>
      <rgbColor rgb="FF339966"/>
      <rgbColor rgb="FF003300"/>
      <rgbColor rgb="FF333300"/>
      <rgbColor rgb="FF993300"/>
      <rgbColor rgb="FF993366"/>
      <rgbColor rgb="FF333399"/>
      <rgbColor rgb="FF3F5E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2514240</xdr:colOff>
      <xdr:row>1</xdr:row>
      <xdr:rowOff>676080</xdr:rowOff>
    </xdr:to>
    <xdr:pic>
      <xdr:nvPicPr>
        <xdr:cNvPr id="0" name="Image 1" descr="Picture"/>
        <xdr:cNvPicPr/>
      </xdr:nvPicPr>
      <xdr:blipFill>
        <a:blip r:embed="rId1"/>
        <a:stretch/>
      </xdr:blipFill>
      <xdr:spPr>
        <a:xfrm>
          <a:off x="211320" y="190440"/>
          <a:ext cx="2514240" cy="6760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59.25" hidden="false" customHeight="true" outlineLevel="0" collapsed="false"/>
    <row r="4" customFormat="false" ht="22.05" hidden="false" customHeight="false" outlineLevel="0" collapsed="false">
      <c r="B4" s="1" t="s">
        <v>0</v>
      </c>
    </row>
    <row r="5" customFormat="false" ht="15" hidden="false" customHeight="false" outlineLevel="0" collapsed="false">
      <c r="B5" s="2" t="s">
        <v>1</v>
      </c>
    </row>
    <row r="6" customFormat="false" ht="15" hidden="false" customHeight="false" outlineLevel="0" collapsed="false">
      <c r="B6" s="3" t="s">
        <v>2</v>
      </c>
    </row>
    <row r="8" customFormat="false" ht="18" hidden="false" customHeight="true" outlineLevel="0" collapsed="false">
      <c r="B8" s="4" t="s">
        <v>3</v>
      </c>
    </row>
    <row r="9" customFormat="false" ht="69.75" hidden="false" customHeight="true" outlineLevel="0" collapsed="false">
      <c r="B9" s="5" t="s">
        <v>4</v>
      </c>
    </row>
    <row r="11" customFormat="false" ht="18" hidden="false" customHeight="true" outlineLevel="0" collapsed="false">
      <c r="B11" s="4" t="s">
        <v>5</v>
      </c>
    </row>
    <row r="12" customFormat="false" ht="27.75" hidden="false" customHeight="true" outlineLevel="0" collapsed="false">
      <c r="B12" s="5" t="s">
        <v>6</v>
      </c>
    </row>
    <row r="13" customFormat="false" ht="27.75" hidden="false" customHeight="true" outlineLevel="0" collapsed="false">
      <c r="B13" s="5" t="s">
        <v>7</v>
      </c>
    </row>
    <row r="14" customFormat="false" ht="27.75" hidden="false" customHeight="true" outlineLevel="0" collapsed="false">
      <c r="B14" s="5" t="s">
        <v>8</v>
      </c>
    </row>
    <row r="15" customFormat="false" ht="27.75" hidden="false" customHeight="true" outlineLevel="0" collapsed="false">
      <c r="B15" s="5" t="s">
        <v>9</v>
      </c>
    </row>
    <row r="16" customFormat="false" ht="13.5" hidden="false" customHeight="true" outlineLevel="0" collapsed="false">
      <c r="B16" s="5" t="s">
        <v>10</v>
      </c>
    </row>
    <row r="18" customFormat="false" ht="18" hidden="false" customHeight="true" outlineLevel="0" collapsed="false">
      <c r="B18" s="4" t="s">
        <v>11</v>
      </c>
    </row>
    <row r="19" customFormat="false" ht="13.5" hidden="false" customHeight="true" outlineLevel="0" collapsed="false">
      <c r="B19" s="5" t="s">
        <v>12</v>
      </c>
    </row>
    <row r="20" customFormat="false" ht="27.75" hidden="false" customHeight="true" outlineLevel="0" collapsed="false">
      <c r="B20" s="5" t="s">
        <v>13</v>
      </c>
    </row>
    <row r="21" customFormat="false" ht="27.75" hidden="false" customHeight="true" outlineLevel="0" collapsed="false">
      <c r="B21" s="5" t="s">
        <v>14</v>
      </c>
    </row>
    <row r="22" customFormat="false" ht="27.75" hidden="false" customHeight="true" outlineLevel="0" collapsed="false">
      <c r="B22" s="5" t="s">
        <v>15</v>
      </c>
    </row>
    <row r="23" customFormat="false" ht="27.75" hidden="false" customHeight="true" outlineLevel="0" collapsed="false">
      <c r="B23" s="5" t="s">
        <v>16</v>
      </c>
    </row>
    <row r="24" customFormat="false" ht="42" hidden="false" customHeight="true" outlineLevel="0" collapsed="false">
      <c r="B24" s="5" t="s">
        <v>17</v>
      </c>
    </row>
    <row r="25" customFormat="false" ht="27.75" hidden="false" customHeight="true" outlineLevel="0" collapsed="false">
      <c r="B25" s="5" t="s">
        <v>18</v>
      </c>
    </row>
    <row r="26" customFormat="false" ht="13.5" hidden="false" customHeight="true" outlineLevel="0" collapsed="false">
      <c r="B26" s="5" t="s">
        <v>19</v>
      </c>
    </row>
    <row r="28" customFormat="false" ht="18" hidden="false" customHeight="true" outlineLevel="0" collapsed="false">
      <c r="B28" s="4" t="s">
        <v>20</v>
      </c>
    </row>
    <row r="29" customFormat="false" ht="13.5" hidden="false" customHeight="true" outlineLevel="0" collapsed="false">
      <c r="B29" s="6" t="s">
        <v>21</v>
      </c>
    </row>
    <row r="30" customFormat="false" ht="13.5" hidden="false" customHeight="true" outlineLevel="0" collapsed="false">
      <c r="B30" s="5" t="s">
        <v>22</v>
      </c>
    </row>
    <row r="31" customFormat="false" ht="13.5" hidden="false" customHeight="true" outlineLevel="0" collapsed="false">
      <c r="B31" s="7" t="s">
        <v>23</v>
      </c>
    </row>
    <row r="32" customFormat="false" ht="13.5" hidden="false" customHeight="true" outlineLevel="0" collapsed="false">
      <c r="B32" s="5" t="s">
        <v>24</v>
      </c>
    </row>
    <row r="34" customFormat="false" ht="18" hidden="false" customHeight="true" outlineLevel="0" collapsed="false">
      <c r="B34" s="4" t="s">
        <v>25</v>
      </c>
    </row>
    <row r="35" customFormat="false" ht="13.5" hidden="false" customHeight="true" outlineLevel="0" collapsed="false">
      <c r="B35" s="5" t="s">
        <v>2</v>
      </c>
    </row>
    <row r="37" customFormat="false" ht="18" hidden="false" customHeight="true" outlineLevel="0" collapsed="false">
      <c r="B37" s="4" t="s">
        <v>26</v>
      </c>
    </row>
    <row r="38" customFormat="false" ht="27.75" hidden="false" customHeight="true" outlineLevel="0" collapsed="false">
      <c r="B38" s="8" t="s">
        <v>27</v>
      </c>
    </row>
    <row r="40" customFormat="false" ht="18" hidden="false" customHeight="true" outlineLevel="0" collapsed="false">
      <c r="B40" s="4" t="s">
        <v>28</v>
      </c>
    </row>
    <row r="41" customFormat="false" ht="27.75" hidden="false" customHeight="true" outlineLevel="0" collapsed="false">
      <c r="B41" s="9" t="s">
        <v>29</v>
      </c>
    </row>
  </sheetData>
  <printOptions headings="false" gridLines="false" gridLinesSet="true" horizontalCentered="true" verticalCentered="false"/>
  <pageMargins left="0.5" right="0.5" top="0.75" bottom="0.75" header="0.5" footer="0.5"/>
  <pageSetup paperSize="9" scale="100" fitToWidth="1" fitToHeight="0" pageOrder="downThenOver" orientation="portrait" blackAndWhite="false" draft="false" cellComments="none" horizontalDpi="300" verticalDpi="300" copies="1"/>
  <headerFooter differentFirst="false" differentOddEven="false">
    <oddHeader>&amp;C&amp;"Arial,Bold"&amp;9 Farm CFO by Clunes Rural</oddHeader>
    <oddFooter>&amp;L&amp;8 &amp;A&amp;R&amp;8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7" min="2" style="0" width="13"/>
    <col collapsed="false" customWidth="true" hidden="false" outlineLevel="0" max="8" min="8" style="0" width="44"/>
  </cols>
  <sheetData>
    <row r="1" customFormat="false" ht="17.35" hidden="false" customHeight="false" outlineLevel="0" collapsed="false">
      <c r="A1" s="10" t="s">
        <v>30</v>
      </c>
    </row>
    <row r="2" customFormat="false" ht="15" hidden="false" customHeight="false" outlineLevel="0" collapsed="false">
      <c r="A2" s="3" t="s">
        <v>31</v>
      </c>
    </row>
    <row r="3" customFormat="false" ht="15" hidden="false" customHeight="false" outlineLevel="0" collapsed="false">
      <c r="A3" s="3" t="s">
        <v>32</v>
      </c>
    </row>
    <row r="5" customFormat="false" ht="15" hidden="false" customHeight="false" outlineLevel="0" collapsed="false">
      <c r="A5" s="11" t="s">
        <v>33</v>
      </c>
      <c r="B5" s="12" t="s">
        <v>34</v>
      </c>
      <c r="C5" s="3" t="s">
        <v>35</v>
      </c>
    </row>
    <row r="6" customFormat="false" ht="15" hidden="false" customHeight="false" outlineLevel="0" collapsed="false">
      <c r="A6" s="11" t="s">
        <v>36</v>
      </c>
      <c r="B6" s="12" t="s">
        <v>37</v>
      </c>
    </row>
    <row r="7" customFormat="false" ht="15" hidden="false" customHeight="false" outlineLevel="0" collapsed="false">
      <c r="A7" s="11" t="s">
        <v>38</v>
      </c>
      <c r="B7" s="13" t="n">
        <v>300</v>
      </c>
    </row>
    <row r="8" customFormat="false" ht="15" hidden="false" customHeight="false" outlineLevel="0" collapsed="false">
      <c r="A8" s="11" t="s">
        <v>39</v>
      </c>
      <c r="B8" s="14" t="n">
        <v>0.075</v>
      </c>
    </row>
    <row r="9" customFormat="false" ht="15" hidden="false" customHeight="false" outlineLevel="0" collapsed="false">
      <c r="A9" s="11" t="s">
        <v>40</v>
      </c>
      <c r="B9" s="15" t="n">
        <v>200000</v>
      </c>
    </row>
    <row r="10" customFormat="false" ht="15" hidden="false" customHeight="false" outlineLevel="0" collapsed="false">
      <c r="A10" s="11" t="s">
        <v>41</v>
      </c>
      <c r="B10" s="16" t="n">
        <v>2027</v>
      </c>
    </row>
    <row r="11" customFormat="false" ht="15" hidden="false" customHeight="false" outlineLevel="0" collapsed="false">
      <c r="A11" s="11" t="s">
        <v>42</v>
      </c>
      <c r="B11" s="12" t="s">
        <v>43</v>
      </c>
    </row>
    <row r="12" customFormat="false" ht="15" hidden="false" customHeight="false" outlineLevel="0" collapsed="false">
      <c r="A12" s="11" t="s">
        <v>44</v>
      </c>
      <c r="B12" s="15" t="n">
        <v>2000</v>
      </c>
    </row>
    <row r="14" customFormat="false" ht="30" hidden="false" customHeight="true" outlineLevel="0" collapsed="false">
      <c r="A14" s="17" t="s">
        <v>45</v>
      </c>
      <c r="B14" s="18" t="s">
        <v>46</v>
      </c>
      <c r="C14" s="18" t="s">
        <v>47</v>
      </c>
      <c r="D14" s="18" t="s">
        <v>48</v>
      </c>
      <c r="E14" s="18" t="s">
        <v>49</v>
      </c>
      <c r="F14" s="18" t="s">
        <v>50</v>
      </c>
      <c r="G14" s="18"/>
      <c r="H14" s="18" t="s">
        <v>51</v>
      </c>
    </row>
    <row r="15" customFormat="false" ht="15" hidden="false" customHeight="false" outlineLevel="0" collapsed="false">
      <c r="A15" s="3" t="s">
        <v>52</v>
      </c>
      <c r="B15" s="19" t="str">
        <f aca="false">(Assumptions!$B$10-1)&amp;"-"&amp;RIGHT(Assumptions!$B$10,2)</f>
        <v>2026-27</v>
      </c>
      <c r="C15" s="19" t="str">
        <f aca="false">(Assumptions!$B$10+1-1)&amp;"-"&amp;RIGHT(Assumptions!$B$10+1,2)</f>
        <v>2027-28</v>
      </c>
      <c r="D15" s="19" t="str">
        <f aca="false">(Assumptions!$B$10+2-1)&amp;"-"&amp;RIGHT(Assumptions!$B$10+2,2)</f>
        <v>2028-29</v>
      </c>
      <c r="E15" s="19" t="str">
        <f aca="false">(Assumptions!$B$10+3-1)&amp;"-"&amp;RIGHT(Assumptions!$B$10+3,2)</f>
        <v>2029-30</v>
      </c>
      <c r="F15" s="19" t="str">
        <f aca="false">(Assumptions!$B$10+4-1)&amp;"-"&amp;RIGHT(Assumptions!$B$10+4,2)</f>
        <v>2030-31</v>
      </c>
    </row>
    <row r="16" customFormat="false" ht="15" hidden="false" customHeight="false" outlineLevel="0" collapsed="false">
      <c r="A16" s="20" t="s">
        <v>53</v>
      </c>
      <c r="B16" s="21" t="n">
        <v>0.4</v>
      </c>
      <c r="C16" s="21" t="n">
        <v>0.65</v>
      </c>
      <c r="D16" s="21" t="n">
        <v>0.85</v>
      </c>
      <c r="E16" s="21" t="n">
        <v>1</v>
      </c>
      <c r="F16" s="21" t="n">
        <v>1</v>
      </c>
    </row>
    <row r="17" customFormat="false" ht="15" hidden="false" customHeight="false" outlineLevel="0" collapsed="false">
      <c r="A17" s="20" t="s">
        <v>54</v>
      </c>
      <c r="B17" s="22" t="n">
        <v>200</v>
      </c>
      <c r="C17" s="22" t="n">
        <v>320</v>
      </c>
      <c r="D17" s="22" t="n">
        <v>420</v>
      </c>
      <c r="E17" s="22" t="n">
        <v>550</v>
      </c>
      <c r="F17" s="22" t="n">
        <v>550</v>
      </c>
      <c r="H17" s="3" t="s">
        <v>55</v>
      </c>
    </row>
    <row r="18" customFormat="false" ht="15" hidden="false" customHeight="false" outlineLevel="0" collapsed="false">
      <c r="A18" s="20" t="s">
        <v>56</v>
      </c>
      <c r="B18" s="22" t="n">
        <v>8000</v>
      </c>
      <c r="C18" s="22" t="n">
        <v>10000</v>
      </c>
      <c r="D18" s="22" t="n">
        <v>12000</v>
      </c>
      <c r="E18" s="22" t="n">
        <v>12000</v>
      </c>
      <c r="F18" s="22" t="n">
        <v>12000</v>
      </c>
      <c r="H18" s="3" t="s">
        <v>57</v>
      </c>
    </row>
    <row r="19" customFormat="false" ht="15" hidden="false" customHeight="false" outlineLevel="0" collapsed="false">
      <c r="A19" s="20" t="s">
        <v>58</v>
      </c>
      <c r="B19" s="22" t="n">
        <v>10000</v>
      </c>
      <c r="C19" s="22" t="n">
        <v>15000</v>
      </c>
      <c r="D19" s="22" t="n">
        <v>20000</v>
      </c>
      <c r="E19" s="22" t="n">
        <v>20000</v>
      </c>
      <c r="F19" s="22" t="n">
        <v>20000</v>
      </c>
      <c r="H19" s="3" t="s">
        <v>59</v>
      </c>
    </row>
    <row r="20" customFormat="false" ht="15" hidden="false" customHeight="false" outlineLevel="0" collapsed="false">
      <c r="A20" s="20" t="s">
        <v>60</v>
      </c>
      <c r="B20" s="23" t="n">
        <v>120</v>
      </c>
      <c r="C20" s="23" t="n">
        <v>50</v>
      </c>
      <c r="D20" s="23" t="n">
        <v>30</v>
      </c>
      <c r="E20" s="23" t="n">
        <v>0</v>
      </c>
      <c r="F20" s="23" t="n">
        <v>0</v>
      </c>
      <c r="H20" s="3" t="s">
        <v>61</v>
      </c>
    </row>
    <row r="21" customFormat="false" ht="15" hidden="false" customHeight="false" outlineLevel="0" collapsed="false">
      <c r="A21" s="20" t="s">
        <v>62</v>
      </c>
      <c r="B21" s="22" t="n">
        <v>2000</v>
      </c>
      <c r="C21" s="22" t="n">
        <v>2000</v>
      </c>
      <c r="D21" s="22" t="n">
        <v>2000</v>
      </c>
      <c r="E21" s="22" t="n">
        <v>2000</v>
      </c>
      <c r="F21" s="22" t="n">
        <v>2000</v>
      </c>
    </row>
    <row r="23" customFormat="false" ht="30" hidden="false" customHeight="true" outlineLevel="0" collapsed="false">
      <c r="A23" s="17" t="s">
        <v>63</v>
      </c>
      <c r="B23" s="18" t="s">
        <v>64</v>
      </c>
      <c r="C23" s="18" t="s">
        <v>46</v>
      </c>
      <c r="D23" s="18" t="s">
        <v>47</v>
      </c>
      <c r="E23" s="18" t="s">
        <v>48</v>
      </c>
      <c r="F23" s="18" t="s">
        <v>49</v>
      </c>
      <c r="G23" s="18" t="s">
        <v>50</v>
      </c>
      <c r="H23" s="18" t="s">
        <v>51</v>
      </c>
    </row>
    <row r="24" customFormat="false" ht="15" hidden="false" customHeight="false" outlineLevel="0" collapsed="false">
      <c r="A24" s="24" t="s">
        <v>65</v>
      </c>
      <c r="B24" s="25" t="s">
        <v>66</v>
      </c>
      <c r="C24" s="22" t="n">
        <v>60000</v>
      </c>
      <c r="D24" s="22" t="n">
        <v>20000</v>
      </c>
      <c r="E24" s="22" t="n">
        <v>0</v>
      </c>
      <c r="F24" s="22" t="n">
        <v>0</v>
      </c>
      <c r="G24" s="22" t="n">
        <v>0</v>
      </c>
    </row>
    <row r="25" customFormat="false" ht="15" hidden="false" customHeight="false" outlineLevel="0" collapsed="false">
      <c r="A25" s="24" t="s">
        <v>67</v>
      </c>
      <c r="B25" s="25" t="s">
        <v>68</v>
      </c>
      <c r="C25" s="22" t="n">
        <v>40000</v>
      </c>
      <c r="D25" s="22" t="n">
        <v>0</v>
      </c>
      <c r="E25" s="22" t="n">
        <v>0</v>
      </c>
      <c r="F25" s="22" t="n">
        <v>0</v>
      </c>
      <c r="G25" s="22" t="n">
        <v>0</v>
      </c>
    </row>
    <row r="26" customFormat="false" ht="15" hidden="false" customHeight="false" outlineLevel="0" collapsed="false">
      <c r="A26" s="24" t="s">
        <v>69</v>
      </c>
      <c r="B26" s="25" t="s">
        <v>43</v>
      </c>
      <c r="C26" s="22" t="n">
        <v>60000</v>
      </c>
      <c r="D26" s="22" t="n">
        <v>0</v>
      </c>
      <c r="E26" s="22" t="n">
        <v>0</v>
      </c>
      <c r="F26" s="22" t="n">
        <v>0</v>
      </c>
      <c r="G26" s="22" t="n">
        <v>0</v>
      </c>
    </row>
    <row r="27" customFormat="false" ht="15" hidden="false" customHeight="false" outlineLevel="0" collapsed="false">
      <c r="A27" s="24" t="s">
        <v>70</v>
      </c>
      <c r="B27" s="25" t="s">
        <v>71</v>
      </c>
      <c r="C27" s="22" t="n">
        <v>36000</v>
      </c>
      <c r="D27" s="22" t="n">
        <v>0</v>
      </c>
      <c r="E27" s="22" t="n">
        <v>9000</v>
      </c>
      <c r="F27" s="22" t="n">
        <v>0</v>
      </c>
      <c r="G27" s="22" t="n">
        <v>0</v>
      </c>
      <c r="H27" s="3" t="s">
        <v>72</v>
      </c>
    </row>
    <row r="28" customFormat="false" ht="15" hidden="false" customHeight="false" outlineLevel="0" collapsed="false">
      <c r="A28" s="24" t="s">
        <v>73</v>
      </c>
      <c r="B28" s="25" t="s">
        <v>74</v>
      </c>
      <c r="C28" s="22" t="n">
        <v>30000</v>
      </c>
      <c r="D28" s="22" t="n">
        <v>20000</v>
      </c>
      <c r="E28" s="22" t="n">
        <v>0</v>
      </c>
      <c r="F28" s="22" t="n">
        <v>0</v>
      </c>
      <c r="G28" s="22" t="n">
        <v>0</v>
      </c>
    </row>
    <row r="29" customFormat="false" ht="15" hidden="false" customHeight="false" outlineLevel="0" collapsed="false">
      <c r="A29" s="24"/>
      <c r="B29" s="25"/>
      <c r="C29" s="22"/>
      <c r="D29" s="22"/>
      <c r="E29" s="22"/>
      <c r="F29" s="22"/>
      <c r="G29" s="22"/>
    </row>
    <row r="30" customFormat="false" ht="15" hidden="false" customHeight="false" outlineLevel="0" collapsed="false">
      <c r="A30" s="24"/>
      <c r="B30" s="25"/>
      <c r="C30" s="22"/>
      <c r="D30" s="22"/>
      <c r="E30" s="22"/>
      <c r="F30" s="22"/>
      <c r="G30" s="22"/>
    </row>
    <row r="31" customFormat="false" ht="15" hidden="false" customHeight="false" outlineLevel="0" collapsed="false">
      <c r="A31" s="24"/>
      <c r="B31" s="25"/>
      <c r="C31" s="22"/>
      <c r="D31" s="22"/>
      <c r="E31" s="22"/>
      <c r="F31" s="22"/>
      <c r="G31" s="22"/>
    </row>
    <row r="32" customFormat="false" ht="15" hidden="false" customHeight="false" outlineLevel="0" collapsed="false">
      <c r="A32" s="26" t="s">
        <v>75</v>
      </c>
      <c r="B32" s="26"/>
      <c r="C32" s="27" t="n">
        <f aca="false">SUM(C24:C31)</f>
        <v>226000</v>
      </c>
      <c r="D32" s="27" t="n">
        <f aca="false">SUM(D24:D31)</f>
        <v>40000</v>
      </c>
      <c r="E32" s="27" t="n">
        <f aca="false">SUM(E24:E31)</f>
        <v>9000</v>
      </c>
      <c r="F32" s="27" t="n">
        <f aca="false">SUM(F24:F31)</f>
        <v>0</v>
      </c>
      <c r="G32" s="27" t="n">
        <f aca="false">SUM(G24:G31)</f>
        <v>0</v>
      </c>
      <c r="H32" s="26"/>
    </row>
    <row r="34" customFormat="false" ht="30" hidden="false" customHeight="true" outlineLevel="0" collapsed="false">
      <c r="A34" s="17" t="s">
        <v>76</v>
      </c>
      <c r="B34" s="18" t="s">
        <v>77</v>
      </c>
      <c r="C34" s="18"/>
      <c r="D34" s="18"/>
      <c r="E34" s="18"/>
      <c r="F34" s="18"/>
      <c r="G34" s="18"/>
      <c r="H34" s="18" t="s">
        <v>51</v>
      </c>
    </row>
    <row r="35" customFormat="false" ht="15" hidden="false" customHeight="false" outlineLevel="0" collapsed="false">
      <c r="A35" s="20" t="s">
        <v>78</v>
      </c>
      <c r="B35" s="21" t="n">
        <v>0</v>
      </c>
      <c r="H35" s="3" t="s">
        <v>79</v>
      </c>
    </row>
    <row r="36" customFormat="false" ht="15" hidden="false" customHeight="false" outlineLevel="0" collapsed="false">
      <c r="A36" s="20" t="s">
        <v>66</v>
      </c>
      <c r="B36" s="21" t="n">
        <v>0</v>
      </c>
    </row>
    <row r="37" customFormat="false" ht="15" hidden="false" customHeight="false" outlineLevel="0" collapsed="false">
      <c r="A37" s="20" t="s">
        <v>68</v>
      </c>
      <c r="B37" s="21" t="n">
        <v>0</v>
      </c>
    </row>
    <row r="38" customFormat="false" ht="15" hidden="false" customHeight="false" outlineLevel="0" collapsed="false">
      <c r="A38" s="20" t="s">
        <v>43</v>
      </c>
      <c r="B38" s="21" t="n">
        <v>0</v>
      </c>
    </row>
    <row r="39" customFormat="false" ht="15" hidden="false" customHeight="false" outlineLevel="0" collapsed="false">
      <c r="A39" s="20" t="s">
        <v>71</v>
      </c>
      <c r="B39" s="21" t="n">
        <v>0</v>
      </c>
    </row>
    <row r="40" customFormat="false" ht="15" hidden="false" customHeight="false" outlineLevel="0" collapsed="false">
      <c r="A40" s="20" t="s">
        <v>80</v>
      </c>
      <c r="B40" s="21" t="n">
        <v>0</v>
      </c>
    </row>
    <row r="41" customFormat="false" ht="15" hidden="false" customHeight="false" outlineLevel="0" collapsed="false">
      <c r="A41" s="20" t="s">
        <v>81</v>
      </c>
      <c r="B41" s="21" t="n">
        <v>0</v>
      </c>
    </row>
    <row r="42" customFormat="false" ht="15" hidden="false" customHeight="false" outlineLevel="0" collapsed="false">
      <c r="A42" s="20" t="s">
        <v>82</v>
      </c>
      <c r="B42" s="21" t="n">
        <v>0.3</v>
      </c>
    </row>
    <row r="43" customFormat="false" ht="15" hidden="false" customHeight="false" outlineLevel="0" collapsed="false">
      <c r="A43" s="20" t="s">
        <v>83</v>
      </c>
      <c r="B43" s="21" t="n">
        <v>0.4</v>
      </c>
    </row>
    <row r="44" customFormat="false" ht="15" hidden="false" customHeight="false" outlineLevel="0" collapsed="false">
      <c r="A44" s="20" t="s">
        <v>74</v>
      </c>
      <c r="B44" s="21" t="n">
        <v>0</v>
      </c>
    </row>
    <row r="45" customFormat="false" ht="15" hidden="false" customHeight="false" outlineLevel="0" collapsed="false">
      <c r="A45" s="20" t="s">
        <v>84</v>
      </c>
      <c r="B45" s="21" t="n">
        <v>0.3</v>
      </c>
    </row>
    <row r="46" customFormat="false" ht="15" hidden="false" customHeight="false" outlineLevel="0" collapsed="false">
      <c r="A46" s="20" t="s">
        <v>85</v>
      </c>
      <c r="B46" s="21" t="n">
        <v>0</v>
      </c>
    </row>
    <row r="47" customFormat="false" ht="15" hidden="false" customHeight="false" outlineLevel="0" collapsed="false">
      <c r="A47" s="26" t="s">
        <v>86</v>
      </c>
      <c r="B47" s="28" t="n">
        <f aca="false">SUM(B35:B46)</f>
        <v>1</v>
      </c>
      <c r="C47" s="26"/>
      <c r="D47" s="26"/>
      <c r="E47" s="26"/>
      <c r="F47" s="26"/>
      <c r="G47" s="26"/>
      <c r="H47" s="26"/>
    </row>
  </sheetData>
  <dataValidations count="2">
    <dataValidation allowBlank="true" error="Choose a value from the list." errorStyle="stop" errorTitle="Invalid entry" operator="between" showDropDown="false" showErrorMessage="false" showInputMessage="false" sqref="B11" type="list">
      <formula1>"Jul,Aug,Sep,Oct,Nov,Dec,Jan,Feb,Mar,Apr,May,Jun"</formula1>
      <formula2>0</formula2>
    </dataValidation>
    <dataValidation allowBlank="true" error="Choose a value from the list." errorStyle="stop" errorTitle="Invalid entry" operator="between" showDropDown="false" showErrorMessage="false" showInputMessage="false" sqref="B24:B31" type="list">
      <formula1>"Jul,Aug,Sep,Oct,Nov,Dec,Jan,Feb,Mar,Apr,May,Jun"</formula1>
      <formula2>0</formula2>
    </dataValidation>
  </dataValidations>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13" min="2" style="0" width="11"/>
    <col collapsed="false" customWidth="true" hidden="false" outlineLevel="0" max="14" min="14" style="0" width="13"/>
  </cols>
  <sheetData>
    <row r="1" customFormat="false" ht="17.35" hidden="false" customHeight="false" outlineLevel="0" collapsed="false">
      <c r="A1" s="10" t="s">
        <v>87</v>
      </c>
    </row>
    <row r="2" customFormat="false" ht="15" hidden="false" customHeight="false" outlineLevel="0" collapsed="false">
      <c r="A2" s="3" t="s">
        <v>88</v>
      </c>
    </row>
    <row r="4" customFormat="false" ht="30" hidden="false" customHeight="true" outlineLevel="0" collapsed="false">
      <c r="A4" s="17" t="s">
        <v>46</v>
      </c>
      <c r="B4" s="18" t="s">
        <v>78</v>
      </c>
      <c r="C4" s="18" t="s">
        <v>66</v>
      </c>
      <c r="D4" s="18" t="s">
        <v>68</v>
      </c>
      <c r="E4" s="18" t="s">
        <v>43</v>
      </c>
      <c r="F4" s="18" t="s">
        <v>71</v>
      </c>
      <c r="G4" s="18" t="s">
        <v>80</v>
      </c>
      <c r="H4" s="18" t="s">
        <v>81</v>
      </c>
      <c r="I4" s="18" t="s">
        <v>82</v>
      </c>
      <c r="J4" s="18" t="s">
        <v>83</v>
      </c>
      <c r="K4" s="18" t="s">
        <v>74</v>
      </c>
      <c r="L4" s="18" t="s">
        <v>84</v>
      </c>
      <c r="M4" s="18" t="s">
        <v>85</v>
      </c>
      <c r="N4" s="18" t="s">
        <v>89</v>
      </c>
    </row>
    <row r="5" customFormat="false" ht="15" hidden="false" customHeight="false" outlineLevel="0" collapsed="false">
      <c r="A5" s="20" t="s">
        <v>90</v>
      </c>
      <c r="B5" s="29" t="n">
        <f aca="false">'Five year build-up'!$B$8*Assumptions!$B$35</f>
        <v>0</v>
      </c>
      <c r="C5" s="29" t="n">
        <f aca="false">'Five year build-up'!$B$8*Assumptions!$B$36</f>
        <v>0</v>
      </c>
      <c r="D5" s="29" t="n">
        <f aca="false">'Five year build-up'!$B$8*Assumptions!$B$37</f>
        <v>0</v>
      </c>
      <c r="E5" s="29" t="n">
        <f aca="false">'Five year build-up'!$B$8*Assumptions!$B$38</f>
        <v>0</v>
      </c>
      <c r="F5" s="29" t="n">
        <f aca="false">'Five year build-up'!$B$8*Assumptions!$B$39</f>
        <v>0</v>
      </c>
      <c r="G5" s="29" t="n">
        <f aca="false">'Five year build-up'!$B$8*Assumptions!$B$40</f>
        <v>0</v>
      </c>
      <c r="H5" s="29" t="n">
        <f aca="false">'Five year build-up'!$B$8*Assumptions!$B$41</f>
        <v>0</v>
      </c>
      <c r="I5" s="29" t="n">
        <f aca="false">'Five year build-up'!$B$8*Assumptions!$B$42</f>
        <v>7200</v>
      </c>
      <c r="J5" s="29" t="n">
        <f aca="false">'Five year build-up'!$B$8*Assumptions!$B$43</f>
        <v>9600</v>
      </c>
      <c r="K5" s="29" t="n">
        <f aca="false">'Five year build-up'!$B$8*Assumptions!$B$44</f>
        <v>0</v>
      </c>
      <c r="L5" s="29" t="n">
        <f aca="false">'Five year build-up'!$B$8*Assumptions!$B$45</f>
        <v>7200</v>
      </c>
      <c r="M5" s="29" t="n">
        <f aca="false">'Five year build-up'!$B$8*Assumptions!$B$46</f>
        <v>0</v>
      </c>
      <c r="N5" s="29" t="n">
        <f aca="false">SUM(B5:M5)</f>
        <v>24000</v>
      </c>
    </row>
    <row r="6" customFormat="false" ht="15" hidden="false" customHeight="false" outlineLevel="0" collapsed="false">
      <c r="A6" s="20" t="s">
        <v>91</v>
      </c>
      <c r="B6" s="29" t="n">
        <f aca="false">'Five year build-up'!$B$9/12</f>
        <v>666.666666666667</v>
      </c>
      <c r="C6" s="29" t="n">
        <f aca="false">'Five year build-up'!$B$9/12</f>
        <v>666.666666666667</v>
      </c>
      <c r="D6" s="29" t="n">
        <f aca="false">'Five year build-up'!$B$9/12</f>
        <v>666.666666666667</v>
      </c>
      <c r="E6" s="29" t="n">
        <f aca="false">'Five year build-up'!$B$9/12</f>
        <v>666.666666666667</v>
      </c>
      <c r="F6" s="29" t="n">
        <f aca="false">'Five year build-up'!$B$9/12</f>
        <v>666.666666666667</v>
      </c>
      <c r="G6" s="29" t="n">
        <f aca="false">'Five year build-up'!$B$9/12</f>
        <v>666.666666666667</v>
      </c>
      <c r="H6" s="29" t="n">
        <f aca="false">'Five year build-up'!$B$9/12</f>
        <v>666.666666666667</v>
      </c>
      <c r="I6" s="29" t="n">
        <f aca="false">'Five year build-up'!$B$9/12</f>
        <v>666.666666666667</v>
      </c>
      <c r="J6" s="29" t="n">
        <f aca="false">'Five year build-up'!$B$9/12</f>
        <v>666.666666666667</v>
      </c>
      <c r="K6" s="29" t="n">
        <f aca="false">'Five year build-up'!$B$9/12</f>
        <v>666.666666666667</v>
      </c>
      <c r="L6" s="29" t="n">
        <f aca="false">'Five year build-up'!$B$9/12</f>
        <v>666.666666666667</v>
      </c>
      <c r="M6" s="29" t="n">
        <f aca="false">'Five year build-up'!$B$9/12</f>
        <v>666.666666666667</v>
      </c>
      <c r="N6" s="29" t="n">
        <f aca="false">SUM(B6:M6)</f>
        <v>8000</v>
      </c>
    </row>
    <row r="7" customFormat="false" ht="15" hidden="false" customHeight="false" outlineLevel="0" collapsed="false">
      <c r="A7" s="20" t="s">
        <v>92</v>
      </c>
      <c r="B7" s="29" t="n">
        <f aca="false">'Five year build-up'!$B$10/12</f>
        <v>833.333333333333</v>
      </c>
      <c r="C7" s="29" t="n">
        <f aca="false">'Five year build-up'!$B$10/12</f>
        <v>833.333333333333</v>
      </c>
      <c r="D7" s="29" t="n">
        <f aca="false">'Five year build-up'!$B$10/12</f>
        <v>833.333333333333</v>
      </c>
      <c r="E7" s="29" t="n">
        <f aca="false">'Five year build-up'!$B$10/12</f>
        <v>833.333333333333</v>
      </c>
      <c r="F7" s="29" t="n">
        <f aca="false">'Five year build-up'!$B$10/12</f>
        <v>833.333333333333</v>
      </c>
      <c r="G7" s="29" t="n">
        <f aca="false">'Five year build-up'!$B$10/12</f>
        <v>833.333333333333</v>
      </c>
      <c r="H7" s="29" t="n">
        <f aca="false">'Five year build-up'!$B$10/12</f>
        <v>833.333333333333</v>
      </c>
      <c r="I7" s="29" t="n">
        <f aca="false">'Five year build-up'!$B$10/12</f>
        <v>833.333333333333</v>
      </c>
      <c r="J7" s="29" t="n">
        <f aca="false">'Five year build-up'!$B$10/12</f>
        <v>833.333333333333</v>
      </c>
      <c r="K7" s="29" t="n">
        <f aca="false">'Five year build-up'!$B$10/12</f>
        <v>833.333333333333</v>
      </c>
      <c r="L7" s="29" t="n">
        <f aca="false">'Five year build-up'!$B$10/12</f>
        <v>833.333333333333</v>
      </c>
      <c r="M7" s="29" t="n">
        <f aca="false">'Five year build-up'!$B$10/12</f>
        <v>833.333333333333</v>
      </c>
      <c r="N7" s="29" t="n">
        <f aca="false">SUM(B7:M7)</f>
        <v>10000</v>
      </c>
    </row>
    <row r="8" customFormat="false" ht="15" hidden="false" customHeight="false" outlineLevel="0" collapsed="false">
      <c r="A8" s="11" t="s">
        <v>93</v>
      </c>
      <c r="B8" s="30" t="n">
        <f aca="false">B5-B6-B7</f>
        <v>-1500</v>
      </c>
      <c r="C8" s="30" t="n">
        <f aca="false">C5-C6-C7</f>
        <v>-1500</v>
      </c>
      <c r="D8" s="30" t="n">
        <f aca="false">D5-D6-D7</f>
        <v>-1500</v>
      </c>
      <c r="E8" s="30" t="n">
        <f aca="false">E5-E6-E7</f>
        <v>-1500</v>
      </c>
      <c r="F8" s="30" t="n">
        <f aca="false">F5-F6-F7</f>
        <v>-1500</v>
      </c>
      <c r="G8" s="30" t="n">
        <f aca="false">G5-G6-G7</f>
        <v>-1500</v>
      </c>
      <c r="H8" s="30" t="n">
        <f aca="false">H5-H6-H7</f>
        <v>-1500</v>
      </c>
      <c r="I8" s="30" t="n">
        <f aca="false">I5-I6-I7</f>
        <v>5700</v>
      </c>
      <c r="J8" s="30" t="n">
        <f aca="false">J5-J6-J7</f>
        <v>8100</v>
      </c>
      <c r="K8" s="30" t="n">
        <f aca="false">K5-K6-K7</f>
        <v>-1500</v>
      </c>
      <c r="L8" s="30" t="n">
        <f aca="false">L5-L6-L7</f>
        <v>5700</v>
      </c>
      <c r="M8" s="30" t="n">
        <f aca="false">M5-M6-M7</f>
        <v>-1500</v>
      </c>
      <c r="N8" s="30" t="n">
        <f aca="false">SUM(B8:M8)</f>
        <v>6000</v>
      </c>
    </row>
    <row r="9" customFormat="false" ht="15" hidden="false" customHeight="false" outlineLevel="0" collapsed="false">
      <c r="A9" s="20" t="s">
        <v>94</v>
      </c>
      <c r="B9" s="29" t="n">
        <f aca="false">SUMIF(Assumptions!$B$24:$B$31,"Jul",Assumptions!$C$24:$C$31)</f>
        <v>0</v>
      </c>
      <c r="C9" s="29" t="n">
        <f aca="false">SUMIF(Assumptions!$B$24:$B$31,"Aug",Assumptions!$C$24:$C$31)</f>
        <v>60000</v>
      </c>
      <c r="D9" s="29" t="n">
        <f aca="false">SUMIF(Assumptions!$B$24:$B$31,"Sep",Assumptions!$C$24:$C$31)</f>
        <v>40000</v>
      </c>
      <c r="E9" s="29" t="n">
        <f aca="false">SUMIF(Assumptions!$B$24:$B$31,"Oct",Assumptions!$C$24:$C$31)</f>
        <v>60000</v>
      </c>
      <c r="F9" s="29" t="n">
        <f aca="false">SUMIF(Assumptions!$B$24:$B$31,"Nov",Assumptions!$C$24:$C$31)</f>
        <v>36000</v>
      </c>
      <c r="G9" s="29" t="n">
        <f aca="false">SUMIF(Assumptions!$B$24:$B$31,"Dec",Assumptions!$C$24:$C$31)</f>
        <v>0</v>
      </c>
      <c r="H9" s="29" t="n">
        <f aca="false">SUMIF(Assumptions!$B$24:$B$31,"Jan",Assumptions!$C$24:$C$31)</f>
        <v>0</v>
      </c>
      <c r="I9" s="29" t="n">
        <f aca="false">SUMIF(Assumptions!$B$24:$B$31,"Feb",Assumptions!$C$24:$C$31)</f>
        <v>0</v>
      </c>
      <c r="J9" s="29" t="n">
        <f aca="false">SUMIF(Assumptions!$B$24:$B$31,"Mar",Assumptions!$C$24:$C$31)</f>
        <v>0</v>
      </c>
      <c r="K9" s="29" t="n">
        <f aca="false">SUMIF(Assumptions!$B$24:$B$31,"Apr",Assumptions!$C$24:$C$31)</f>
        <v>30000</v>
      </c>
      <c r="L9" s="29" t="n">
        <f aca="false">SUMIF(Assumptions!$B$24:$B$31,"May",Assumptions!$C$24:$C$31)</f>
        <v>0</v>
      </c>
      <c r="M9" s="29" t="n">
        <f aca="false">SUMIF(Assumptions!$B$24:$B$31,"Jun",Assumptions!$C$24:$C$31)</f>
        <v>0</v>
      </c>
      <c r="N9" s="29" t="n">
        <f aca="false">SUM(B9:M9)</f>
        <v>226000</v>
      </c>
    </row>
    <row r="10" customFormat="false" ht="15" hidden="false" customHeight="false" outlineLevel="0" collapsed="false">
      <c r="A10" s="20" t="s">
        <v>95</v>
      </c>
      <c r="B10" s="29" t="n">
        <f aca="false">IF(Assumptions!$B$11="Jul",'Five year build-up'!$B$13,0)</f>
        <v>0</v>
      </c>
      <c r="C10" s="29" t="n">
        <f aca="false">IF(Assumptions!$B$11="Aug",'Five year build-up'!$B$13,0)</f>
        <v>0</v>
      </c>
      <c r="D10" s="29" t="n">
        <f aca="false">IF(Assumptions!$B$11="Sep",'Five year build-up'!$B$13,0)</f>
        <v>0</v>
      </c>
      <c r="E10" s="29" t="n">
        <f aca="false">IF(Assumptions!$B$11="Oct",'Five year build-up'!$B$13,0)</f>
        <v>240000</v>
      </c>
      <c r="F10" s="29" t="n">
        <f aca="false">IF(Assumptions!$B$11="Nov",'Five year build-up'!$B$13,0)</f>
        <v>0</v>
      </c>
      <c r="G10" s="29" t="n">
        <f aca="false">IF(Assumptions!$B$11="Dec",'Five year build-up'!$B$13,0)</f>
        <v>0</v>
      </c>
      <c r="H10" s="29" t="n">
        <f aca="false">IF(Assumptions!$B$11="Jan",'Five year build-up'!$B$13,0)</f>
        <v>0</v>
      </c>
      <c r="I10" s="29" t="n">
        <f aca="false">IF(Assumptions!$B$11="Feb",'Five year build-up'!$B$13,0)</f>
        <v>0</v>
      </c>
      <c r="J10" s="29" t="n">
        <f aca="false">IF(Assumptions!$B$11="Mar",'Five year build-up'!$B$13,0)</f>
        <v>0</v>
      </c>
      <c r="K10" s="29" t="n">
        <f aca="false">IF(Assumptions!$B$11="Apr",'Five year build-up'!$B$13,0)</f>
        <v>0</v>
      </c>
      <c r="L10" s="29" t="n">
        <f aca="false">IF(Assumptions!$B$11="May",'Five year build-up'!$B$13,0)</f>
        <v>0</v>
      </c>
      <c r="M10" s="29" t="n">
        <f aca="false">IF(Assumptions!$B$11="Jun",'Five year build-up'!$B$13,0)</f>
        <v>0</v>
      </c>
      <c r="N10" s="29" t="n">
        <f aca="false">SUM(B10:M10)</f>
        <v>240000</v>
      </c>
    </row>
    <row r="11" customFormat="false" ht="15" hidden="false" customHeight="false" outlineLevel="0" collapsed="false">
      <c r="A11" s="31" t="s">
        <v>96</v>
      </c>
      <c r="B11" s="32" t="n">
        <f aca="false">B8-B9-B10</f>
        <v>-1500</v>
      </c>
      <c r="C11" s="32" t="n">
        <f aca="false">C8-C9-C10</f>
        <v>-61500</v>
      </c>
      <c r="D11" s="32" t="n">
        <f aca="false">D8-D9-D10</f>
        <v>-41500</v>
      </c>
      <c r="E11" s="32" t="n">
        <f aca="false">E8-E9-E10</f>
        <v>-301500</v>
      </c>
      <c r="F11" s="32" t="n">
        <f aca="false">F8-F9-F10</f>
        <v>-37500</v>
      </c>
      <c r="G11" s="32" t="n">
        <f aca="false">G8-G9-G10</f>
        <v>-1500</v>
      </c>
      <c r="H11" s="32" t="n">
        <f aca="false">H8-H9-H10</f>
        <v>-1500</v>
      </c>
      <c r="I11" s="32" t="n">
        <f aca="false">I8-I9-I10</f>
        <v>5700</v>
      </c>
      <c r="J11" s="32" t="n">
        <f aca="false">J8-J9-J10</f>
        <v>8100</v>
      </c>
      <c r="K11" s="32" t="n">
        <f aca="false">K8-K9-K10</f>
        <v>-31500</v>
      </c>
      <c r="L11" s="32" t="n">
        <f aca="false">L8-L9-L10</f>
        <v>5700</v>
      </c>
      <c r="M11" s="32" t="n">
        <f aca="false">M8-M9-M10</f>
        <v>-1500</v>
      </c>
      <c r="N11" s="32" t="n">
        <f aca="false">SUM(B11:M11)</f>
        <v>-460000</v>
      </c>
    </row>
    <row r="13" customFormat="false" ht="15" hidden="false" customHeight="false" outlineLevel="0" collapsed="false">
      <c r="A13" s="20" t="s">
        <v>97</v>
      </c>
      <c r="B13" s="33" t="n">
        <f aca="false">Assumptions!$B$9</f>
        <v>200000</v>
      </c>
      <c r="C13" s="33" t="n">
        <f aca="false">B15</f>
        <v>198500</v>
      </c>
      <c r="D13" s="33" t="n">
        <f aca="false">C15</f>
        <v>137000</v>
      </c>
      <c r="E13" s="33" t="n">
        <f aca="false">D15</f>
        <v>95500</v>
      </c>
      <c r="F13" s="33" t="n">
        <f aca="false">E15</f>
        <v>-206000</v>
      </c>
      <c r="G13" s="33" t="n">
        <f aca="false">F15</f>
        <v>-244787.5</v>
      </c>
      <c r="H13" s="33" t="n">
        <f aca="false">G15</f>
        <v>-247817.421875</v>
      </c>
      <c r="I13" s="33" t="n">
        <f aca="false">H15</f>
        <v>-250866.280761719</v>
      </c>
      <c r="J13" s="33" t="n">
        <f aca="false">I15</f>
        <v>-246734.19501648</v>
      </c>
      <c r="K13" s="33" t="n">
        <f aca="false">J15</f>
        <v>-240176.283735333</v>
      </c>
      <c r="L13" s="33" t="n">
        <f aca="false">K15</f>
        <v>-273177.385508678</v>
      </c>
      <c r="M13" s="33" t="n">
        <f aca="false">L15</f>
        <v>-269184.744168108</v>
      </c>
    </row>
    <row r="14" customFormat="false" ht="15" hidden="false" customHeight="false" outlineLevel="0" collapsed="false">
      <c r="A14" s="20" t="s">
        <v>98</v>
      </c>
      <c r="B14" s="29" t="n">
        <f aca="false">MAX(0,-B13)*Assumptions!$B$8/12</f>
        <v>0</v>
      </c>
      <c r="C14" s="29" t="n">
        <f aca="false">MAX(0,-C13)*Assumptions!$B$8/12</f>
        <v>0</v>
      </c>
      <c r="D14" s="29" t="n">
        <f aca="false">MAX(0,-D13)*Assumptions!$B$8/12</f>
        <v>0</v>
      </c>
      <c r="E14" s="29" t="n">
        <f aca="false">MAX(0,-E13)*Assumptions!$B$8/12</f>
        <v>0</v>
      </c>
      <c r="F14" s="29" t="n">
        <f aca="false">MAX(0,-F13)*Assumptions!$B$8/12</f>
        <v>1287.5</v>
      </c>
      <c r="G14" s="29" t="n">
        <f aca="false">MAX(0,-G13)*Assumptions!$B$8/12</f>
        <v>1529.921875</v>
      </c>
      <c r="H14" s="29" t="n">
        <f aca="false">MAX(0,-H13)*Assumptions!$B$8/12</f>
        <v>1548.85888671875</v>
      </c>
      <c r="I14" s="29" t="n">
        <f aca="false">MAX(0,-I13)*Assumptions!$B$8/12</f>
        <v>1567.91425476074</v>
      </c>
      <c r="J14" s="29" t="n">
        <f aca="false">MAX(0,-J13)*Assumptions!$B$8/12</f>
        <v>1542.088718853</v>
      </c>
      <c r="K14" s="29" t="n">
        <f aca="false">MAX(0,-K13)*Assumptions!$B$8/12</f>
        <v>1501.10177334583</v>
      </c>
      <c r="L14" s="29" t="n">
        <f aca="false">MAX(0,-L13)*Assumptions!$B$8/12</f>
        <v>1707.35865942924</v>
      </c>
      <c r="M14" s="29" t="n">
        <f aca="false">MAX(0,-M13)*Assumptions!$B$8/12</f>
        <v>1682.40465105067</v>
      </c>
      <c r="N14" s="29" t="n">
        <f aca="false">SUM(B14:M14)</f>
        <v>12367.1488191582</v>
      </c>
    </row>
    <row r="15" customFormat="false" ht="15" hidden="false" customHeight="false" outlineLevel="0" collapsed="false">
      <c r="A15" s="31" t="s">
        <v>99</v>
      </c>
      <c r="B15" s="32" t="n">
        <f aca="false">B13+B11-B14</f>
        <v>198500</v>
      </c>
      <c r="C15" s="32" t="n">
        <f aca="false">C13+C11-C14</f>
        <v>137000</v>
      </c>
      <c r="D15" s="32" t="n">
        <f aca="false">D13+D11-D14</f>
        <v>95500</v>
      </c>
      <c r="E15" s="32" t="n">
        <f aca="false">E13+E11-E14</f>
        <v>-206000</v>
      </c>
      <c r="F15" s="32" t="n">
        <f aca="false">F13+F11-F14</f>
        <v>-244787.5</v>
      </c>
      <c r="G15" s="32" t="n">
        <f aca="false">G13+G11-G14</f>
        <v>-247817.421875</v>
      </c>
      <c r="H15" s="32" t="n">
        <f aca="false">H13+H11-H14</f>
        <v>-250866.280761719</v>
      </c>
      <c r="I15" s="32" t="n">
        <f aca="false">I13+I11-I14</f>
        <v>-246734.19501648</v>
      </c>
      <c r="J15" s="32" t="n">
        <f aca="false">J13+J11-J14</f>
        <v>-240176.283735333</v>
      </c>
      <c r="K15" s="32" t="n">
        <f aca="false">K13+K11-K14</f>
        <v>-273177.385508678</v>
      </c>
      <c r="L15" s="32" t="n">
        <f aca="false">L13+L11-L14</f>
        <v>-269184.744168108</v>
      </c>
      <c r="M15" s="32" t="n">
        <f aca="false">M13+M11-M14</f>
        <v>-272367.148819158</v>
      </c>
      <c r="N15" s="31"/>
    </row>
    <row r="16" customFormat="false" ht="15" hidden="false" customHeight="false" outlineLevel="0" collapsed="false">
      <c r="A16" s="20" t="s">
        <v>100</v>
      </c>
      <c r="B16" s="29" t="n">
        <f aca="false">MAX(0,-B15)</f>
        <v>0</v>
      </c>
      <c r="C16" s="29" t="n">
        <f aca="false">MAX(0,-C15)</f>
        <v>0</v>
      </c>
      <c r="D16" s="29" t="n">
        <f aca="false">MAX(0,-D15)</f>
        <v>0</v>
      </c>
      <c r="E16" s="29" t="n">
        <f aca="false">MAX(0,-E15)</f>
        <v>206000</v>
      </c>
      <c r="F16" s="29" t="n">
        <f aca="false">MAX(0,-F15)</f>
        <v>244787.5</v>
      </c>
      <c r="G16" s="29" t="n">
        <f aca="false">MAX(0,-G15)</f>
        <v>247817.421875</v>
      </c>
      <c r="H16" s="29" t="n">
        <f aca="false">MAX(0,-H15)</f>
        <v>250866.280761719</v>
      </c>
      <c r="I16" s="29" t="n">
        <f aca="false">MAX(0,-I15)</f>
        <v>246734.19501648</v>
      </c>
      <c r="J16" s="29" t="n">
        <f aca="false">MAX(0,-J15)</f>
        <v>240176.283735333</v>
      </c>
      <c r="K16" s="29" t="n">
        <f aca="false">MAX(0,-K15)</f>
        <v>273177.385508678</v>
      </c>
      <c r="L16" s="29" t="n">
        <f aca="false">MAX(0,-L15)</f>
        <v>269184.744168108</v>
      </c>
      <c r="M16" s="29" t="n">
        <f aca="false">MAX(0,-M15)</f>
        <v>272367.148819158</v>
      </c>
    </row>
    <row r="17" customFormat="false" ht="15" hidden="false" customHeight="false" outlineLevel="0" collapsed="false">
      <c r="A17" s="20" t="s">
        <v>101</v>
      </c>
      <c r="B17" s="33" t="n">
        <f aca="false">B15-Assumptions!$B$9</f>
        <v>-1500</v>
      </c>
      <c r="C17" s="33" t="n">
        <f aca="false">C15-Assumptions!$B$9</f>
        <v>-63000</v>
      </c>
      <c r="D17" s="33" t="n">
        <f aca="false">D15-Assumptions!$B$9</f>
        <v>-104500</v>
      </c>
      <c r="E17" s="33" t="n">
        <f aca="false">E15-Assumptions!$B$9</f>
        <v>-406000</v>
      </c>
      <c r="F17" s="33" t="n">
        <f aca="false">F15-Assumptions!$B$9</f>
        <v>-444787.5</v>
      </c>
      <c r="G17" s="33" t="n">
        <f aca="false">G15-Assumptions!$B$9</f>
        <v>-447817.421875</v>
      </c>
      <c r="H17" s="33" t="n">
        <f aca="false">H15-Assumptions!$B$9</f>
        <v>-450866.280761719</v>
      </c>
      <c r="I17" s="33" t="n">
        <f aca="false">I15-Assumptions!$B$9</f>
        <v>-446734.195016479</v>
      </c>
      <c r="J17" s="33" t="n">
        <f aca="false">J15-Assumptions!$B$9</f>
        <v>-440176.283735333</v>
      </c>
      <c r="K17" s="33" t="n">
        <f aca="false">K15-Assumptions!$B$9</f>
        <v>-473177.385508678</v>
      </c>
      <c r="L17" s="33" t="n">
        <f aca="false">L15-Assumptions!$B$9</f>
        <v>-469184.744168108</v>
      </c>
      <c r="M17" s="33" t="n">
        <f aca="false">M15-Assumptions!$B$9</f>
        <v>-472367.148819158</v>
      </c>
    </row>
    <row r="19" customFormat="false" ht="15" hidden="false" customHeight="false" outlineLevel="0" collapsed="false">
      <c r="A19" s="11" t="s">
        <v>102</v>
      </c>
      <c r="B19" s="30" t="n">
        <f aca="false">MIN(B15:M15)</f>
        <v>-273177.385508678</v>
      </c>
    </row>
    <row r="20" customFormat="false" ht="15" hidden="false" customHeight="false" outlineLevel="0" collapsed="false">
      <c r="A20" s="11" t="s">
        <v>103</v>
      </c>
      <c r="B20" s="34" t="str">
        <f aca="false">INDEX(B4:M4,MATCH(B19,B15:M15,0))</f>
        <v>Apr</v>
      </c>
    </row>
  </sheetData>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7" min="2" style="0" width="15"/>
    <col collapsed="false" customWidth="true" hidden="false" outlineLevel="0" max="8" min="8" style="0" width="40"/>
  </cols>
  <sheetData>
    <row r="1" customFormat="false" ht="17.35" hidden="false" customHeight="false" outlineLevel="0" collapsed="false">
      <c r="A1" s="10" t="s">
        <v>104</v>
      </c>
    </row>
    <row r="2" customFormat="false" ht="15" hidden="false" customHeight="false" outlineLevel="0" collapsed="false">
      <c r="A2" s="3" t="s">
        <v>105</v>
      </c>
    </row>
    <row r="4" customFormat="false" ht="30" hidden="false" customHeight="true" outlineLevel="0" collapsed="false">
      <c r="A4" s="17" t="s">
        <v>106</v>
      </c>
      <c r="B4" s="18" t="s">
        <v>46</v>
      </c>
      <c r="C4" s="18" t="s">
        <v>47</v>
      </c>
      <c r="D4" s="18" t="s">
        <v>48</v>
      </c>
      <c r="E4" s="18" t="s">
        <v>49</v>
      </c>
      <c r="F4" s="18" t="s">
        <v>50</v>
      </c>
      <c r="G4" s="18" t="s">
        <v>107</v>
      </c>
      <c r="H4" s="18" t="s">
        <v>51</v>
      </c>
    </row>
    <row r="5" customFormat="false" ht="15" hidden="false" customHeight="false" outlineLevel="0" collapsed="false">
      <c r="A5" s="3" t="s">
        <v>52</v>
      </c>
      <c r="B5" s="19" t="str">
        <f aca="false">Assumptions!B15</f>
        <v>2026-27</v>
      </c>
      <c r="C5" s="19" t="str">
        <f aca="false">Assumptions!C15</f>
        <v>2027-28</v>
      </c>
      <c r="D5" s="19" t="str">
        <f aca="false">Assumptions!D15</f>
        <v>2028-29</v>
      </c>
      <c r="E5" s="19" t="str">
        <f aca="false">Assumptions!E15</f>
        <v>2029-30</v>
      </c>
      <c r="F5" s="19" t="str">
        <f aca="false">Assumptions!F15</f>
        <v>2030-31</v>
      </c>
    </row>
    <row r="6" customFormat="false" ht="15" hidden="false" customHeight="false" outlineLevel="0" collapsed="false">
      <c r="A6" s="20" t="str">
        <f aca="false">"Units ("&amp;Assumptions!$B$6&amp;") at the year's scale"</f>
        <v>Units (cows) at the year's scale</v>
      </c>
      <c r="B6" s="35" t="n">
        <f aca="false">Assumptions!$B$7*Assumptions!B16</f>
        <v>120</v>
      </c>
      <c r="C6" s="35" t="n">
        <f aca="false">Assumptions!$B$7*Assumptions!C16</f>
        <v>195</v>
      </c>
      <c r="D6" s="35" t="n">
        <f aca="false">Assumptions!$B$7*Assumptions!D16</f>
        <v>255</v>
      </c>
      <c r="E6" s="35" t="n">
        <f aca="false">Assumptions!$B$7*Assumptions!E16</f>
        <v>300</v>
      </c>
      <c r="F6" s="35" t="n">
        <f aca="false">Assumptions!$B$7*Assumptions!F16</f>
        <v>300</v>
      </c>
      <c r="G6" s="35" t="n">
        <f aca="false">F6</f>
        <v>300</v>
      </c>
      <c r="H6" s="3" t="s">
        <v>108</v>
      </c>
    </row>
    <row r="7" customFormat="false" ht="15" hidden="false" customHeight="false" outlineLevel="0" collapsed="false">
      <c r="A7" s="20" t="s">
        <v>109</v>
      </c>
      <c r="B7" s="29" t="n">
        <f aca="false">Assumptions!B17</f>
        <v>200</v>
      </c>
      <c r="C7" s="29" t="n">
        <f aca="false">Assumptions!C17</f>
        <v>320</v>
      </c>
      <c r="D7" s="29" t="n">
        <f aca="false">Assumptions!D17</f>
        <v>420</v>
      </c>
      <c r="E7" s="29" t="n">
        <f aca="false">Assumptions!E17</f>
        <v>550</v>
      </c>
      <c r="F7" s="29" t="n">
        <f aca="false">Assumptions!F17</f>
        <v>550</v>
      </c>
    </row>
    <row r="8" customFormat="false" ht="15" hidden="false" customHeight="false" outlineLevel="0" collapsed="false">
      <c r="A8" s="20" t="s">
        <v>90</v>
      </c>
      <c r="B8" s="29" t="n">
        <f aca="false">B6*B7</f>
        <v>24000</v>
      </c>
      <c r="C8" s="29" t="n">
        <f aca="false">C6*C7</f>
        <v>62400</v>
      </c>
      <c r="D8" s="29" t="n">
        <f aca="false">D6*D7</f>
        <v>107100</v>
      </c>
      <c r="E8" s="29" t="n">
        <f aca="false">E6*E7</f>
        <v>165000</v>
      </c>
      <c r="F8" s="29" t="n">
        <f aca="false">F6*F7</f>
        <v>165000</v>
      </c>
      <c r="G8" s="29" t="n">
        <f aca="false">SUM(B8:F8)</f>
        <v>523500</v>
      </c>
    </row>
    <row r="9" customFormat="false" ht="15" hidden="false" customHeight="false" outlineLevel="0" collapsed="false">
      <c r="A9" s="20" t="s">
        <v>91</v>
      </c>
      <c r="B9" s="29" t="n">
        <f aca="false">Assumptions!B18</f>
        <v>8000</v>
      </c>
      <c r="C9" s="29" t="n">
        <f aca="false">Assumptions!C18</f>
        <v>10000</v>
      </c>
      <c r="D9" s="29" t="n">
        <f aca="false">Assumptions!D18</f>
        <v>12000</v>
      </c>
      <c r="E9" s="29" t="n">
        <f aca="false">Assumptions!E18</f>
        <v>12000</v>
      </c>
      <c r="F9" s="29" t="n">
        <f aca="false">Assumptions!F18</f>
        <v>12000</v>
      </c>
      <c r="G9" s="29" t="n">
        <f aca="false">SUM(B9:F9)</f>
        <v>54000</v>
      </c>
    </row>
    <row r="10" customFormat="false" ht="15" hidden="false" customHeight="false" outlineLevel="0" collapsed="false">
      <c r="A10" s="20" t="s">
        <v>92</v>
      </c>
      <c r="B10" s="29" t="n">
        <f aca="false">Assumptions!B19</f>
        <v>10000</v>
      </c>
      <c r="C10" s="29" t="n">
        <f aca="false">Assumptions!C19</f>
        <v>15000</v>
      </c>
      <c r="D10" s="29" t="n">
        <f aca="false">Assumptions!D19</f>
        <v>20000</v>
      </c>
      <c r="E10" s="29" t="n">
        <f aca="false">Assumptions!E19</f>
        <v>20000</v>
      </c>
      <c r="F10" s="29" t="n">
        <f aca="false">Assumptions!F19</f>
        <v>20000</v>
      </c>
      <c r="G10" s="29" t="n">
        <f aca="false">SUM(B10:F10)</f>
        <v>85000</v>
      </c>
    </row>
    <row r="11" customFormat="false" ht="15" hidden="false" customHeight="false" outlineLevel="0" collapsed="false">
      <c r="A11" s="11" t="s">
        <v>93</v>
      </c>
      <c r="B11" s="36" t="n">
        <f aca="false">B8-B9-B10</f>
        <v>6000</v>
      </c>
      <c r="C11" s="36" t="n">
        <f aca="false">C8-C9-C10</f>
        <v>37400</v>
      </c>
      <c r="D11" s="36" t="n">
        <f aca="false">D8-D9-D10</f>
        <v>75100</v>
      </c>
      <c r="E11" s="36" t="n">
        <f aca="false">E8-E9-E10</f>
        <v>133000</v>
      </c>
      <c r="F11" s="36" t="n">
        <f aca="false">F8-F9-F10</f>
        <v>133000</v>
      </c>
      <c r="G11" s="36" t="n">
        <f aca="false">SUM(B11:F11)</f>
        <v>384500</v>
      </c>
    </row>
    <row r="12" customFormat="false" ht="15" hidden="false" customHeight="false" outlineLevel="0" collapsed="false">
      <c r="A12" s="20" t="s">
        <v>94</v>
      </c>
      <c r="B12" s="29" t="n">
        <f aca="false">Assumptions!C32</f>
        <v>226000</v>
      </c>
      <c r="C12" s="29" t="n">
        <f aca="false">Assumptions!D32</f>
        <v>40000</v>
      </c>
      <c r="D12" s="29" t="n">
        <f aca="false">Assumptions!E32</f>
        <v>9000</v>
      </c>
      <c r="E12" s="29" t="n">
        <f aca="false">Assumptions!F32</f>
        <v>0</v>
      </c>
      <c r="F12" s="29" t="n">
        <f aca="false">Assumptions!G32</f>
        <v>0</v>
      </c>
      <c r="G12" s="29" t="n">
        <f aca="false">SUM(B12:F12)</f>
        <v>275000</v>
      </c>
    </row>
    <row r="13" customFormat="false" ht="15" hidden="false" customHeight="false" outlineLevel="0" collapsed="false">
      <c r="A13" s="20" t="s">
        <v>95</v>
      </c>
      <c r="B13" s="29" t="n">
        <f aca="false">N(Assumptions!B20)*N(Assumptions!B21)</f>
        <v>240000</v>
      </c>
      <c r="C13" s="29" t="n">
        <f aca="false">N(Assumptions!C20)*N(Assumptions!C21)</f>
        <v>100000</v>
      </c>
      <c r="D13" s="29" t="n">
        <f aca="false">N(Assumptions!D20)*N(Assumptions!D21)</f>
        <v>60000</v>
      </c>
      <c r="E13" s="29" t="n">
        <f aca="false">N(Assumptions!E20)*N(Assumptions!E21)</f>
        <v>0</v>
      </c>
      <c r="F13" s="29" t="n">
        <f aca="false">N(Assumptions!F20)*N(Assumptions!F21)</f>
        <v>0</v>
      </c>
      <c r="G13" s="29" t="n">
        <f aca="false">SUM(B13:F13)</f>
        <v>400000</v>
      </c>
    </row>
    <row r="14" customFormat="false" ht="15" hidden="false" customHeight="false" outlineLevel="0" collapsed="false">
      <c r="A14" s="31" t="s">
        <v>96</v>
      </c>
      <c r="B14" s="32" t="n">
        <f aca="false">B11-B12-B13</f>
        <v>-460000</v>
      </c>
      <c r="C14" s="32" t="n">
        <f aca="false">C11-C12-C13</f>
        <v>-102600</v>
      </c>
      <c r="D14" s="32" t="n">
        <f aca="false">D11-D12-D13</f>
        <v>6100</v>
      </c>
      <c r="E14" s="32" t="n">
        <f aca="false">E11-E12-E13</f>
        <v>133000</v>
      </c>
      <c r="F14" s="32" t="n">
        <f aca="false">F11-F12-F13</f>
        <v>133000</v>
      </c>
      <c r="G14" s="32" t="n">
        <f aca="false">SUM(B14:F14)</f>
        <v>-290500</v>
      </c>
    </row>
    <row r="16" customFormat="false" ht="15" hidden="false" customHeight="false" outlineLevel="0" collapsed="false">
      <c r="A16" s="20" t="s">
        <v>97</v>
      </c>
      <c r="B16" s="33" t="n">
        <f aca="false">Assumptions!$B$9</f>
        <v>200000</v>
      </c>
      <c r="C16" s="33" t="n">
        <f aca="false">B18</f>
        <v>-272367.148819158</v>
      </c>
      <c r="D16" s="33" t="n">
        <f aca="false">C18</f>
        <v>-399242.184980595</v>
      </c>
      <c r="E16" s="33" t="n">
        <f aca="false">D18</f>
        <v>-422856.59885414</v>
      </c>
      <c r="F16" s="33" t="n">
        <f aca="false">E18</f>
        <v>-316583.3437682</v>
      </c>
      <c r="H16" s="3" t="s">
        <v>110</v>
      </c>
    </row>
    <row r="17" customFormat="false" ht="15" hidden="false" customHeight="false" outlineLevel="0" collapsed="false">
      <c r="A17" s="20" t="s">
        <v>98</v>
      </c>
      <c r="B17" s="29" t="n">
        <f aca="false">'Year 1 monthly'!N14</f>
        <v>12367.1488191582</v>
      </c>
      <c r="C17" s="29" t="n">
        <f aca="false">MAX(0,-(C16+C16+C14)/2)*Assumptions!$B$8</f>
        <v>24275.0361614369</v>
      </c>
      <c r="D17" s="29" t="n">
        <f aca="false">MAX(0,-(D16+D16+D14)/2)*Assumptions!$B$8</f>
        <v>29714.4138735446</v>
      </c>
      <c r="E17" s="29" t="n">
        <f aca="false">MAX(0,-(E16+E16+E14)/2)*Assumptions!$B$8</f>
        <v>26726.7449140605</v>
      </c>
      <c r="F17" s="29" t="n">
        <f aca="false">MAX(0,-(F16+F16+F14)/2)*Assumptions!$B$8</f>
        <v>18756.250782615</v>
      </c>
      <c r="G17" s="29" t="n">
        <f aca="false">SUM(B17:F17)</f>
        <v>111839.594550815</v>
      </c>
      <c r="H17" s="3" t="s">
        <v>111</v>
      </c>
    </row>
    <row r="18" customFormat="false" ht="15" hidden="false" customHeight="false" outlineLevel="0" collapsed="false">
      <c r="A18" s="31" t="s">
        <v>99</v>
      </c>
      <c r="B18" s="32" t="n">
        <f aca="false">B16+B14-B17</f>
        <v>-272367.148819158</v>
      </c>
      <c r="C18" s="32" t="n">
        <f aca="false">C16+C14-C17</f>
        <v>-399242.184980595</v>
      </c>
      <c r="D18" s="32" t="n">
        <f aca="false">D16+D14-D17</f>
        <v>-422856.59885414</v>
      </c>
      <c r="E18" s="32" t="n">
        <f aca="false">E16+E14-E17</f>
        <v>-316583.3437682</v>
      </c>
      <c r="F18" s="32" t="n">
        <f aca="false">F16+F14-F17</f>
        <v>-202339.594550815</v>
      </c>
      <c r="G18" s="31"/>
    </row>
    <row r="19" customFormat="false" ht="15" hidden="false" customHeight="false" outlineLevel="0" collapsed="false">
      <c r="A19" s="20" t="s">
        <v>112</v>
      </c>
      <c r="B19" s="29" t="n">
        <f aca="false">MAX(0,-B18)</f>
        <v>272367.148819158</v>
      </c>
      <c r="C19" s="29" t="n">
        <f aca="false">MAX(0,-C18)</f>
        <v>399242.184980595</v>
      </c>
      <c r="D19" s="29" t="n">
        <f aca="false">MAX(0,-D18)</f>
        <v>422856.59885414</v>
      </c>
      <c r="E19" s="29" t="n">
        <f aca="false">MAX(0,-E18)</f>
        <v>316583.3437682</v>
      </c>
      <c r="F19" s="29" t="n">
        <f aca="false">MAX(0,-F18)</f>
        <v>202339.594550815</v>
      </c>
    </row>
    <row r="20" customFormat="false" ht="15" hidden="false" customHeight="false" outlineLevel="0" collapsed="false">
      <c r="A20" s="20" t="s">
        <v>101</v>
      </c>
      <c r="B20" s="33" t="n">
        <f aca="false">B18-Assumptions!$B$9</f>
        <v>-472367.148819158</v>
      </c>
      <c r="C20" s="33" t="n">
        <f aca="false">C18-Assumptions!$B$9</f>
        <v>-599242.184980595</v>
      </c>
      <c r="D20" s="33" t="n">
        <f aca="false">D18-Assumptions!$B$9</f>
        <v>-622856.59885414</v>
      </c>
      <c r="E20" s="33" t="n">
        <f aca="false">E18-Assumptions!$B$9</f>
        <v>-516583.3437682</v>
      </c>
      <c r="F20" s="33" t="n">
        <f aca="false">F18-Assumptions!$B$9</f>
        <v>-402339.594550815</v>
      </c>
    </row>
    <row r="21" customFormat="false" ht="15" hidden="false" customHeight="false" outlineLevel="0" collapsed="false">
      <c r="A21" s="37" t="s">
        <v>113</v>
      </c>
      <c r="B21" s="38" t="n">
        <f aca="false">IF(B20&gt;=0,1,99)</f>
        <v>99</v>
      </c>
      <c r="C21" s="38" t="n">
        <f aca="false">IF(C20&gt;=0,2,99)</f>
        <v>99</v>
      </c>
      <c r="D21" s="38" t="n">
        <f aca="false">IF(D20&gt;=0,3,99)</f>
        <v>99</v>
      </c>
      <c r="E21" s="38" t="n">
        <f aca="false">IF(E20&gt;=0,4,99)</f>
        <v>99</v>
      </c>
      <c r="F21" s="38" t="n">
        <f aca="false">IF(F20&gt;=0,5,99)</f>
        <v>99</v>
      </c>
      <c r="H21" s="3" t="s">
        <v>114</v>
      </c>
    </row>
    <row r="23" customFormat="false" ht="19.5" hidden="false" customHeight="true" outlineLevel="0" collapsed="false">
      <c r="A23" s="17" t="s">
        <v>115</v>
      </c>
      <c r="B23" s="18" t="s">
        <v>116</v>
      </c>
      <c r="C23" s="18"/>
      <c r="D23" s="18"/>
      <c r="E23" s="18"/>
      <c r="F23" s="18"/>
      <c r="G23" s="18"/>
      <c r="H23" s="18" t="s">
        <v>51</v>
      </c>
    </row>
    <row r="24" customFormat="false" ht="15" hidden="false" customHeight="false" outlineLevel="0" collapsed="false">
      <c r="A24" s="26" t="s">
        <v>117</v>
      </c>
      <c r="B24" s="27" t="n">
        <f aca="false">MAX(0,-MIN(MIN('Year 1 monthly'!B17:M17),MIN(B20:F20)))</f>
        <v>622856.59885414</v>
      </c>
      <c r="C24" s="26"/>
      <c r="D24" s="26"/>
      <c r="E24" s="26"/>
      <c r="F24" s="26"/>
      <c r="G24" s="26"/>
      <c r="H24" s="3" t="s">
        <v>118</v>
      </c>
    </row>
    <row r="25" customFormat="false" ht="15" hidden="false" customHeight="false" outlineLevel="0" collapsed="false">
      <c r="A25" s="11" t="s">
        <v>119</v>
      </c>
      <c r="B25" s="36" t="n">
        <f aca="false">MAX(MAX('Year 1 monthly'!B16:M16),MAX(B19:F19))</f>
        <v>422856.59885414</v>
      </c>
      <c r="H25" s="3" t="s">
        <v>120</v>
      </c>
    </row>
    <row r="26" customFormat="false" ht="15" hidden="false" customHeight="false" outlineLevel="0" collapsed="false">
      <c r="A26" s="26" t="s">
        <v>121</v>
      </c>
      <c r="B26" s="39" t="str">
        <f aca="false">IF(MIN(B21:F21)&lt;99,"Year "&amp;MIN(B21:F21)&amp;" ("&amp;INDEX(B5:F5,MIN(B21:F21))&amp;")",IF((F14-F17)&lt;=0,"Does not pay back on Year 5 figures","About year "&amp;(5+ROUNDUP(-F20/(F14-F17),0))&amp;" (estimate)"))</f>
        <v>About year 9 (estimate)</v>
      </c>
      <c r="C26" s="26"/>
      <c r="D26" s="26"/>
      <c r="E26" s="26"/>
      <c r="F26" s="26"/>
      <c r="G26" s="26"/>
      <c r="H26" s="3" t="s">
        <v>122</v>
      </c>
    </row>
    <row r="27" customFormat="false" ht="15" hidden="false" customHeight="false" outlineLevel="0" collapsed="false">
      <c r="A27" s="11" t="s">
        <v>123</v>
      </c>
      <c r="B27" s="30" t="n">
        <f aca="false">F20</f>
        <v>-402339.594550815</v>
      </c>
    </row>
    <row r="28" customFormat="false" ht="15" hidden="false" customHeight="false" outlineLevel="0" collapsed="false">
      <c r="A28" s="11" t="s">
        <v>124</v>
      </c>
      <c r="B28" s="36" t="n">
        <f aca="false">F6*Assumptions!$B$12</f>
        <v>600000</v>
      </c>
      <c r="H28" s="3" t="s">
        <v>125</v>
      </c>
    </row>
    <row r="30" customFormat="false" ht="15" hidden="false" customHeight="false" outlineLevel="0" collapsed="false">
      <c r="A30" s="3" t="s">
        <v>126</v>
      </c>
      <c r="B30" s="33" t="n">
        <f aca="false">B18-'Year 1 monthly'!M15</f>
        <v>0</v>
      </c>
      <c r="H30" s="3" t="s">
        <v>127</v>
      </c>
    </row>
  </sheetData>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2026-10-26T07:21:26Z</dcterms:created>
  <dc:creator>openpyxl</dc:creator>
  <dc:description/>
  <dc:language>en-US</dc:language>
  <cp:lastModifiedBy/>
  <dcterms:modified xsi:type="dcterms:W3CDTF">2026-10-26T07:21:26Z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