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et-up and funding" sheetId="2" state="visible" r:id="rId4"/>
    <sheet name="24 month cashflow" sheetId="3" state="visible" r:id="rId5"/>
  </sheets>
  <definedNames>
    <definedName function="false" hidden="false" localSheetId="2" name="_xlnm.Print_Titles" vbProcedure="false">'24 month cashflow'!$A:$A,'24 month cashflow'!$5:$6</definedName>
    <definedName function="false" hidden="false" localSheetId="2" name="_xlnm.Print_Titles" vbProcedure="false">'24 month cashflow'!$5:$6,'24 month cashflow'!$A:$A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<sst xmlns="http://schemas.openxmlformats.org/spreadsheetml/2006/main" count="119" uniqueCount="109">
  <si>
    <t xml:space="preserve">Start-up budget for new farmers</t>
  </si>
  <si>
    <t xml:space="preserve">Farm CFO by Clunes Rural</t>
  </si>
  <si>
    <t xml:space="preserve">Version 1.0, October 2026</t>
  </si>
  <si>
    <t xml:space="preserve">What this template is for</t>
  </si>
  <si>
    <t xml:space="preserve">For people getting into farming: what it costs to set up (stock, plant, a lease bond, fencing and water, and working capital), how it will be funded (savings, loans and off-farm income), and a 24 month cashflow including living costs. It shows the lowest bank balance and the month it happens, which is the number a lender will look at first.</t>
  </si>
  <si>
    <t xml:space="preserve">How to use it</t>
  </si>
  <si>
    <t xml:space="preserve">1. Go to the Set-up and funding sheet. Enter the start date (the first month of the cashflow).</t>
  </si>
  <si>
    <t xml:space="preserve">2. List set-up costs with the month they are paid (1 to 24), the amount excluding GST and whether GST applies.</t>
  </si>
  <si>
    <t xml:space="preserve">3. Enter the working capital reserve you want to hold back, then the funding: savings, loans (with rate and term) and any family or other funding, with the month each is received.</t>
  </si>
  <si>
    <t xml:space="preserve">4. Enter the selling cost %, the month you expect the GST refund on set-up costs, and other settings.</t>
  </si>
  <si>
    <t xml:space="preserve">5. Go to the 24 month cashflow sheet and enter expected sales, off-farm income, operating costs and living costs month by month.</t>
  </si>
  <si>
    <t xml:space="preserve">6. Check the lowest balance and its month at the bottom. If it goes below zero you need more funding, lower set-up costs, or a later purchase date.</t>
  </si>
  <si>
    <t xml:space="preserve">7. Replace every blue example figure with your own.</t>
  </si>
  <si>
    <t xml:space="preserve">Notes</t>
  </si>
  <si>
    <t xml:space="preserve">Set-up costs are paid including GST. If you are registered for GST, the GST on set-up costs is refunded through your BAS; enter the month you expect the refund.</t>
  </si>
  <si>
    <t xml:space="preserve">Ongoing sales and costs on the cashflow are entered excluding GST, on the basis that GST collected and paid broadly offset through the BAS. Check with your accountant.</t>
  </si>
  <si>
    <t xml:space="preserve">Loan repayment = Excel PMT function: equal monthly principal and interest repayments over the term, starting the month after the loan is drawn.</t>
  </si>
  <si>
    <t xml:space="preserve">Selling costs = stock and wool sales x selling cost % (commission, levies and freight).</t>
  </si>
  <si>
    <t xml:space="preserve">Living costs: the Farm CFO household drawings template can help you work these out.</t>
  </si>
  <si>
    <t xml:space="preserve">The example is an invented couple leasing a block to run prime lamb ewes. Figures are for illustration only.</t>
  </si>
  <si>
    <t xml:space="preserve">Colour key</t>
  </si>
  <si>
    <t xml:space="preserve">Blue text on a sand fill = input. Type your own figures over these cells.</t>
  </si>
  <si>
    <t xml:space="preserve">Black text = formula. These cells calculate automatically, so please don't type over them.</t>
  </si>
  <si>
    <t xml:space="preserve">Wheat fill = key totals.</t>
  </si>
  <si>
    <t xml:space="preserve">Amounts are in Australian dollars (AUD). Dates are dd/mm/yyyy. The year runs 1 July to 30 June.</t>
  </si>
  <si>
    <t xml:space="preserve">Version</t>
  </si>
  <si>
    <t xml:space="preserve">Need a hand?</t>
  </si>
  <si>
    <t xml:space="preserve">Need a hand? Farm CFO prepares budgets, cashflows and bank review packs at fixed prices: farmcfo.com.au/services</t>
  </si>
  <si>
    <t xml:space="preserve">Important</t>
  </si>
  <si>
    <t xml:space="preserve">General information only. This template doesn't take account of your circumstances. Farm CFO is a business name of Levelhead Capital Pty Ltd (ABN 15 703 134 918). farmcfo.com.au · 0412 759 847</t>
  </si>
  <si>
    <t xml:space="preserve">Set-up costs and funding</t>
  </si>
  <si>
    <t xml:space="preserve">What it costs to start, and where the money comes from. Amounts in AUD.</t>
  </si>
  <si>
    <t xml:space="preserve">Blue figures on a sand fill are inputs. Example, replace with your own: the figures shown are examples for illustration only.</t>
  </si>
  <si>
    <t xml:space="preserve">Example</t>
  </si>
  <si>
    <t xml:space="preserve">Leasing 420 ha to run 600 first-cross ewes for prime lambs (invented example)</t>
  </si>
  <si>
    <t xml:space="preserve">Start date (first month of the cashflow)</t>
  </si>
  <si>
    <t xml:space="preserve">GST rate</t>
  </si>
  <si>
    <t xml:space="preserve">Set-up costs</t>
  </si>
  <si>
    <t xml:space="preserve">Month paid (1 to 24)</t>
  </si>
  <si>
    <t xml:space="preserve">Amount excl. GST ($)</t>
  </si>
  <si>
    <t xml:space="preserve">GST applies?</t>
  </si>
  <si>
    <t xml:space="preserve">GST ($)</t>
  </si>
  <si>
    <t xml:space="preserve">Amount incl. GST ($)</t>
  </si>
  <si>
    <t xml:space="preserve">Breeding stock: 600 ewes at $260</t>
  </si>
  <si>
    <t xml:space="preserve">Yes</t>
  </si>
  <si>
    <t xml:space="preserve">Rams: 8 at $1,500</t>
  </si>
  <si>
    <t xml:space="preserve">Plant: second hand ute</t>
  </si>
  <si>
    <t xml:space="preserve">Plant: quad bike, sheep handler and trailer</t>
  </si>
  <si>
    <t xml:space="preserve">Lease bond</t>
  </si>
  <si>
    <t xml:space="preserve">No</t>
  </si>
  <si>
    <t xml:space="preserve">Refundable at the end of the lease</t>
  </si>
  <si>
    <t xml:space="preserve">Fencing and water repairs</t>
  </si>
  <si>
    <t xml:space="preserve">Other set-up (insurance, PIC, NLIS tags, tools)</t>
  </si>
  <si>
    <t xml:space="preserve">Total set-up costs</t>
  </si>
  <si>
    <t xml:space="preserve">Working capital reserve (held back, not spent)</t>
  </si>
  <si>
    <t xml:space="preserve">Cash to carry you until the first sales</t>
  </si>
  <si>
    <t xml:space="preserve">Total funding needed</t>
  </si>
  <si>
    <t xml:space="preserve">Funding</t>
  </si>
  <si>
    <t xml:space="preserve">Month received (1 to 24)</t>
  </si>
  <si>
    <t xml:space="preserve">Amount ($)</t>
  </si>
  <si>
    <t xml:space="preserve">Interest rate</t>
  </si>
  <si>
    <t xml:space="preserve">Term (years)</t>
  </si>
  <si>
    <t xml:space="preserve">Monthly repayment ($)</t>
  </si>
  <si>
    <t xml:space="preserve">Savings</t>
  </si>
  <si>
    <t xml:space="preserve">Bank loan</t>
  </si>
  <si>
    <t xml:space="preserve">Example rate only</t>
  </si>
  <si>
    <t xml:space="preserve">Family loan</t>
  </si>
  <si>
    <t xml:space="preserve">Other funding</t>
  </si>
  <si>
    <t xml:space="preserve">Total funding</t>
  </si>
  <si>
    <t xml:space="preserve">Funding surplus (shortfall) against funding needed</t>
  </si>
  <si>
    <t xml:space="preserve">Other settings</t>
  </si>
  <si>
    <t xml:space="preserve">Value</t>
  </si>
  <si>
    <t xml:space="preserve">Selling costs (% of stock and wool sales)</t>
  </si>
  <si>
    <t xml:space="preserve">Commission, levies and freight</t>
  </si>
  <si>
    <t xml:space="preserve">Month GST on set-up costs is refunded (1 to 24)</t>
  </si>
  <si>
    <t xml:space="preserve">After your first BAS is lodged</t>
  </si>
  <si>
    <t xml:space="preserve">24 month cashflow</t>
  </si>
  <si>
    <t xml:space="preserve">Ongoing sales and costs excluding GST. Set-up costs and funding come from the Set-up and funding sheet.</t>
  </si>
  <si>
    <t xml:space="preserve">Month number</t>
  </si>
  <si>
    <t xml:space="preserve">Item</t>
  </si>
  <si>
    <t xml:space="preserve">24 month total</t>
  </si>
  <si>
    <t xml:space="preserve">Receipts</t>
  </si>
  <si>
    <t xml:space="preserve">Lamb sales</t>
  </si>
  <si>
    <t xml:space="preserve">Wool and cull ewe sales</t>
  </si>
  <si>
    <t xml:space="preserve">Other farm income</t>
  </si>
  <si>
    <t xml:space="preserve">Off-farm income (after tax)</t>
  </si>
  <si>
    <t xml:space="preserve">GST refund on set-up costs</t>
  </si>
  <si>
    <t xml:space="preserve">Funding received (savings and loans)</t>
  </si>
  <si>
    <t xml:space="preserve">Total receipts</t>
  </si>
  <si>
    <t xml:space="preserve">Payments</t>
  </si>
  <si>
    <t xml:space="preserve">Set-up costs (incl. GST)</t>
  </si>
  <si>
    <t xml:space="preserve">Lease rent</t>
  </si>
  <si>
    <t xml:space="preserve">Paid half-yearly in advance</t>
  </si>
  <si>
    <t xml:space="preserve">Feed and supplements</t>
  </si>
  <si>
    <t xml:space="preserve">Animal health</t>
  </si>
  <si>
    <t xml:space="preserve">Shearing and crutching</t>
  </si>
  <si>
    <t xml:space="preserve">Fuel, repairs and maintenance</t>
  </si>
  <si>
    <t xml:space="preserve">Insurance and registrations</t>
  </si>
  <si>
    <t xml:space="preserve">Other farm costs</t>
  </si>
  <si>
    <t xml:space="preserve">Selling costs</t>
  </si>
  <si>
    <t xml:space="preserve">Loan repayments</t>
  </si>
  <si>
    <t xml:space="preserve">Living costs</t>
  </si>
  <si>
    <t xml:space="preserve">Total payments</t>
  </si>
  <si>
    <t xml:space="preserve">Net cashflow</t>
  </si>
  <si>
    <t xml:space="preserve">Opening balance</t>
  </si>
  <si>
    <t xml:space="preserve">Closing balance</t>
  </si>
  <si>
    <t xml:space="preserve">Lowest closing balance</t>
  </si>
  <si>
    <t xml:space="preserve">Month of lowest balance</t>
  </si>
  <si>
    <t xml:space="preserve">Closing balance at month 24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</si>
</sst>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0.0%;\-0.0%;\-"/>
    <numFmt numFmtId="167" formatCode="0"/>
    <numFmt numFmtId="168" formatCode="\$#,##0;&quot;-$&quot;#,##0;\-"/>
    <numFmt numFmtId="169" formatCode="0.00%"/>
    <numFmt numFmtId="170" formatCode="#,##0;\-#,##0;\-"/>
    <numFmt numFmtId="171" formatCode="\$#,##0;[RED]&quot;-$&quot;#,##0;\-"/>
    <numFmt numFmtId="172" formatCode="mmm\ 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F5E4A"/>
      <name val="Arial"/>
      <family val="0"/>
      <charset val="1"/>
    </font>
    <font>
      <sz val="11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3F5E4A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3F5E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F5E4A"/>
        <bgColor rgb="FF6B6B6B"/>
      </patternFill>
    </fill>
    <fill>
      <patternFill patternType="solid">
        <fgColor rgb="FFF7F5EE"/>
        <bgColor rgb="FFFFFFFF"/>
      </patternFill>
    </fill>
    <fill>
      <patternFill patternType="solid">
        <fgColor rgb="FFD9A93F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5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93F"/>
      <rgbColor rgb="FFFF6600"/>
      <rgbColor rgb="FF6B6B6B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F5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2514240</xdr:colOff>
      <xdr:row>1</xdr:row>
      <xdr:rowOff>676080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2514240" cy="676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59.2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6" customFormat="false" ht="15" hidden="false" customHeight="false" outlineLevel="0" collapsed="false">
      <c r="B6" s="3" t="s">
        <v>2</v>
      </c>
    </row>
    <row r="8" customFormat="false" ht="18" hidden="false" customHeight="true" outlineLevel="0" collapsed="false">
      <c r="B8" s="4" t="s">
        <v>3</v>
      </c>
    </row>
    <row r="9" customFormat="false" ht="55.5" hidden="false" customHeight="true" outlineLevel="0" collapsed="false">
      <c r="B9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13.5" hidden="false" customHeight="true" outlineLevel="0" collapsed="false">
      <c r="B12" s="5" t="s">
        <v>6</v>
      </c>
    </row>
    <row r="13" customFormat="false" ht="27.75" hidden="false" customHeight="true" outlineLevel="0" collapsed="false">
      <c r="B13" s="5" t="s">
        <v>7</v>
      </c>
    </row>
    <row r="14" customFormat="false" ht="27.75" hidden="false" customHeight="true" outlineLevel="0" collapsed="false">
      <c r="B14" s="5" t="s">
        <v>8</v>
      </c>
    </row>
    <row r="15" customFormat="false" ht="13.5" hidden="false" customHeight="true" outlineLevel="0" collapsed="false">
      <c r="B15" s="5" t="s">
        <v>9</v>
      </c>
    </row>
    <row r="16" customFormat="false" ht="27.75" hidden="false" customHeight="true" outlineLevel="0" collapsed="false">
      <c r="B16" s="5" t="s">
        <v>10</v>
      </c>
    </row>
    <row r="17" customFormat="false" ht="27.75" hidden="false" customHeight="true" outlineLevel="0" collapsed="false">
      <c r="B17" s="5" t="s">
        <v>11</v>
      </c>
    </row>
    <row r="18" customFormat="false" ht="13.5" hidden="false" customHeight="true" outlineLevel="0" collapsed="false">
      <c r="B18" s="5" t="s">
        <v>12</v>
      </c>
    </row>
    <row r="20" customFormat="false" ht="18" hidden="false" customHeight="true" outlineLevel="0" collapsed="false">
      <c r="B20" s="4" t="s">
        <v>13</v>
      </c>
    </row>
    <row r="21" customFormat="false" ht="27.75" hidden="false" customHeight="true" outlineLevel="0" collapsed="false">
      <c r="B21" s="5" t="s">
        <v>14</v>
      </c>
    </row>
    <row r="22" customFormat="false" ht="27.75" hidden="false" customHeight="true" outlineLevel="0" collapsed="false">
      <c r="B22" s="5" t="s">
        <v>15</v>
      </c>
    </row>
    <row r="23" customFormat="false" ht="27.75" hidden="false" customHeight="true" outlineLevel="0" collapsed="false">
      <c r="B23" s="5" t="s">
        <v>16</v>
      </c>
    </row>
    <row r="24" customFormat="false" ht="13.5" hidden="false" customHeight="true" outlineLevel="0" collapsed="false">
      <c r="B24" s="5" t="s">
        <v>17</v>
      </c>
    </row>
    <row r="25" customFormat="false" ht="13.5" hidden="false" customHeight="true" outlineLevel="0" collapsed="false">
      <c r="B25" s="5" t="s">
        <v>18</v>
      </c>
    </row>
    <row r="26" customFormat="false" ht="27.75" hidden="false" customHeight="true" outlineLevel="0" collapsed="false">
      <c r="B26" s="5" t="s">
        <v>19</v>
      </c>
    </row>
    <row r="28" customFormat="false" ht="18" hidden="false" customHeight="true" outlineLevel="0" collapsed="false">
      <c r="B28" s="4" t="s">
        <v>20</v>
      </c>
    </row>
    <row r="29" customFormat="false" ht="13.5" hidden="false" customHeight="true" outlineLevel="0" collapsed="false">
      <c r="B29" s="6" t="s">
        <v>21</v>
      </c>
    </row>
    <row r="30" customFormat="false" ht="13.5" hidden="false" customHeight="true" outlineLevel="0" collapsed="false">
      <c r="B30" s="5" t="s">
        <v>22</v>
      </c>
    </row>
    <row r="31" customFormat="false" ht="13.5" hidden="false" customHeight="true" outlineLevel="0" collapsed="false">
      <c r="B31" s="7" t="s">
        <v>23</v>
      </c>
    </row>
    <row r="32" customFormat="false" ht="13.5" hidden="false" customHeight="true" outlineLevel="0" collapsed="false">
      <c r="B32" s="5" t="s">
        <v>24</v>
      </c>
    </row>
    <row r="34" customFormat="false" ht="18" hidden="false" customHeight="true" outlineLevel="0" collapsed="false">
      <c r="B34" s="4" t="s">
        <v>25</v>
      </c>
    </row>
    <row r="35" customFormat="false" ht="13.5" hidden="false" customHeight="true" outlineLevel="0" collapsed="false">
      <c r="B35" s="5" t="s">
        <v>2</v>
      </c>
    </row>
    <row r="37" customFormat="false" ht="18" hidden="false" customHeight="true" outlineLevel="0" collapsed="false">
      <c r="B37" s="4" t="s">
        <v>26</v>
      </c>
    </row>
    <row r="38" customFormat="false" ht="27.75" hidden="false" customHeight="true" outlineLevel="0" collapsed="false">
      <c r="B38" s="8" t="s">
        <v>27</v>
      </c>
    </row>
    <row r="40" customFormat="false" ht="18" hidden="false" customHeight="true" outlineLevel="0" collapsed="false">
      <c r="B40" s="4" t="s">
        <v>28</v>
      </c>
    </row>
    <row r="41" customFormat="false" ht="27.75" hidden="false" customHeight="true" outlineLevel="0" collapsed="false">
      <c r="B41" s="9" t="s">
        <v>29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0" t="s">
        <v>30</v>
      </c>
    </row>
    <row r="2" customFormat="false" ht="15" hidden="false" customHeight="false" outlineLevel="0" collapsed="false">
      <c r="A2" s="3" t="s">
        <v>31</v>
      </c>
    </row>
    <row r="3" customFormat="false" ht="15" hidden="false" customHeight="false" outlineLevel="0" collapsed="false">
      <c r="A3" s="3" t="s">
        <v>32</v>
      </c>
    </row>
    <row r="4" customFormat="false" ht="15" hidden="false" customHeight="false" outlineLevel="0" collapsed="false">
      <c r="A4" s="11" t="s">
        <v>33</v>
      </c>
      <c r="B4" s="12" t="s">
        <v>34</v>
      </c>
    </row>
    <row r="5" customFormat="false" ht="15" hidden="false" customHeight="false" outlineLevel="0" collapsed="false">
      <c r="A5" s="11" t="s">
        <v>35</v>
      </c>
      <c r="B5" s="13" t="n">
        <v>46569</v>
      </c>
    </row>
    <row r="6" customFormat="false" ht="15" hidden="false" customHeight="false" outlineLevel="0" collapsed="false">
      <c r="A6" s="11" t="s">
        <v>36</v>
      </c>
      <c r="B6" s="14" t="n">
        <v>0.1</v>
      </c>
    </row>
    <row r="8" customFormat="false" ht="31.5" hidden="false" customHeight="true" outlineLevel="0" collapsed="false">
      <c r="A8" s="15" t="s">
        <v>37</v>
      </c>
      <c r="B8" s="16" t="s">
        <v>38</v>
      </c>
      <c r="C8" s="16" t="s">
        <v>39</v>
      </c>
      <c r="D8" s="16" t="s">
        <v>40</v>
      </c>
      <c r="E8" s="16" t="s">
        <v>41</v>
      </c>
      <c r="F8" s="16" t="s">
        <v>42</v>
      </c>
      <c r="G8" s="16" t="s">
        <v>13</v>
      </c>
    </row>
    <row r="9" customFormat="false" ht="15" hidden="false" customHeight="false" outlineLevel="0" collapsed="false">
      <c r="A9" s="12" t="s">
        <v>43</v>
      </c>
      <c r="B9" s="17" t="n">
        <v>1</v>
      </c>
      <c r="C9" s="18" t="n">
        <v>156000</v>
      </c>
      <c r="D9" s="19" t="s">
        <v>44</v>
      </c>
      <c r="E9" s="20" t="n">
        <f aca="false">IF(D9="Yes",N(C9)*$B$6,0)</f>
        <v>15600</v>
      </c>
      <c r="F9" s="20" t="n">
        <f aca="false">N(C9)+E9</f>
        <v>171600</v>
      </c>
    </row>
    <row r="10" customFormat="false" ht="15" hidden="false" customHeight="false" outlineLevel="0" collapsed="false">
      <c r="A10" s="12" t="s">
        <v>45</v>
      </c>
      <c r="B10" s="17" t="n">
        <v>2</v>
      </c>
      <c r="C10" s="18" t="n">
        <v>12000</v>
      </c>
      <c r="D10" s="19" t="s">
        <v>44</v>
      </c>
      <c r="E10" s="20" t="n">
        <f aca="false">IF(D10="Yes",N(C10)*$B$6,0)</f>
        <v>1200</v>
      </c>
      <c r="F10" s="20" t="n">
        <f aca="false">N(C10)+E10</f>
        <v>13200</v>
      </c>
    </row>
    <row r="11" customFormat="false" ht="15" hidden="false" customHeight="false" outlineLevel="0" collapsed="false">
      <c r="A11" s="12" t="s">
        <v>46</v>
      </c>
      <c r="B11" s="17" t="n">
        <v>1</v>
      </c>
      <c r="C11" s="18" t="n">
        <v>35000</v>
      </c>
      <c r="D11" s="19" t="s">
        <v>44</v>
      </c>
      <c r="E11" s="20" t="n">
        <f aca="false">IF(D11="Yes",N(C11)*$B$6,0)</f>
        <v>3500</v>
      </c>
      <c r="F11" s="20" t="n">
        <f aca="false">N(C11)+E11</f>
        <v>38500</v>
      </c>
    </row>
    <row r="12" customFormat="false" ht="15" hidden="false" customHeight="false" outlineLevel="0" collapsed="false">
      <c r="A12" s="12" t="s">
        <v>47</v>
      </c>
      <c r="B12" s="17" t="n">
        <v>1</v>
      </c>
      <c r="C12" s="18" t="n">
        <v>22000</v>
      </c>
      <c r="D12" s="19" t="s">
        <v>44</v>
      </c>
      <c r="E12" s="20" t="n">
        <f aca="false">IF(D12="Yes",N(C12)*$B$6,0)</f>
        <v>2200</v>
      </c>
      <c r="F12" s="20" t="n">
        <f aca="false">N(C12)+E12</f>
        <v>24200</v>
      </c>
    </row>
    <row r="13" customFormat="false" ht="15" hidden="false" customHeight="false" outlineLevel="0" collapsed="false">
      <c r="A13" s="12" t="s">
        <v>48</v>
      </c>
      <c r="B13" s="17" t="n">
        <v>1</v>
      </c>
      <c r="C13" s="18" t="n">
        <v>20000</v>
      </c>
      <c r="D13" s="19" t="s">
        <v>49</v>
      </c>
      <c r="E13" s="20" t="n">
        <f aca="false">IF(D13="Yes",N(C13)*$B$6,0)</f>
        <v>0</v>
      </c>
      <c r="F13" s="20" t="n">
        <f aca="false">N(C13)+E13</f>
        <v>20000</v>
      </c>
      <c r="G13" s="3" t="s">
        <v>50</v>
      </c>
    </row>
    <row r="14" customFormat="false" ht="15" hidden="false" customHeight="false" outlineLevel="0" collapsed="false">
      <c r="A14" s="12" t="s">
        <v>51</v>
      </c>
      <c r="B14" s="17" t="n">
        <v>2</v>
      </c>
      <c r="C14" s="18" t="n">
        <v>18000</v>
      </c>
      <c r="D14" s="19" t="s">
        <v>44</v>
      </c>
      <c r="E14" s="20" t="n">
        <f aca="false">IF(D14="Yes",N(C14)*$B$6,0)</f>
        <v>1800</v>
      </c>
      <c r="F14" s="20" t="n">
        <f aca="false">N(C14)+E14</f>
        <v>19800</v>
      </c>
    </row>
    <row r="15" customFormat="false" ht="15" hidden="false" customHeight="false" outlineLevel="0" collapsed="false">
      <c r="A15" s="12" t="s">
        <v>52</v>
      </c>
      <c r="B15" s="17" t="n">
        <v>1</v>
      </c>
      <c r="C15" s="18" t="n">
        <v>6000</v>
      </c>
      <c r="D15" s="19" t="s">
        <v>44</v>
      </c>
      <c r="E15" s="20" t="n">
        <f aca="false">IF(D15="Yes",N(C15)*$B$6,0)</f>
        <v>600</v>
      </c>
      <c r="F15" s="20" t="n">
        <f aca="false">N(C15)+E15</f>
        <v>6600</v>
      </c>
    </row>
    <row r="16" customFormat="false" ht="15" hidden="false" customHeight="false" outlineLevel="0" collapsed="false">
      <c r="A16" s="12"/>
      <c r="B16" s="17"/>
      <c r="C16" s="18"/>
      <c r="D16" s="19"/>
      <c r="E16" s="20" t="n">
        <f aca="false">IF(D16="Yes",N(C16)*$B$6,0)</f>
        <v>0</v>
      </c>
      <c r="F16" s="20" t="n">
        <f aca="false">N(C16)+E16</f>
        <v>0</v>
      </c>
    </row>
    <row r="17" customFormat="false" ht="15" hidden="false" customHeight="false" outlineLevel="0" collapsed="false">
      <c r="A17" s="12"/>
      <c r="B17" s="17"/>
      <c r="C17" s="18"/>
      <c r="D17" s="19"/>
      <c r="E17" s="20" t="n">
        <f aca="false">IF(D17="Yes",N(C17)*$B$6,0)</f>
        <v>0</v>
      </c>
      <c r="F17" s="20" t="n">
        <f aca="false">N(C17)+E17</f>
        <v>0</v>
      </c>
    </row>
    <row r="18" customFormat="false" ht="15" hidden="false" customHeight="false" outlineLevel="0" collapsed="false">
      <c r="A18" s="12"/>
      <c r="B18" s="17"/>
      <c r="C18" s="18"/>
      <c r="D18" s="19"/>
      <c r="E18" s="20" t="n">
        <f aca="false">IF(D18="Yes",N(C18)*$B$6,0)</f>
        <v>0</v>
      </c>
      <c r="F18" s="20" t="n">
        <f aca="false">N(C18)+E18</f>
        <v>0</v>
      </c>
    </row>
    <row r="19" customFormat="false" ht="15" hidden="false" customHeight="false" outlineLevel="0" collapsed="false">
      <c r="A19" s="21" t="s">
        <v>53</v>
      </c>
      <c r="B19" s="21"/>
      <c r="C19" s="22" t="n">
        <f aca="false">SUM(C9:C18)</f>
        <v>269000</v>
      </c>
      <c r="D19" s="21"/>
      <c r="E19" s="22" t="n">
        <f aca="false">SUM(E9:E18)</f>
        <v>24900</v>
      </c>
      <c r="F19" s="22" t="n">
        <f aca="false">SUM(F9:F18)</f>
        <v>293900</v>
      </c>
      <c r="G19" s="21"/>
    </row>
    <row r="20" customFormat="false" ht="15" hidden="false" customHeight="false" outlineLevel="0" collapsed="false">
      <c r="A20" s="23" t="s">
        <v>54</v>
      </c>
      <c r="F20" s="18" t="n">
        <v>30000</v>
      </c>
      <c r="G20" s="3" t="s">
        <v>55</v>
      </c>
    </row>
    <row r="21" customFormat="false" ht="15" hidden="false" customHeight="false" outlineLevel="0" collapsed="false">
      <c r="A21" s="24" t="s">
        <v>56</v>
      </c>
      <c r="B21" s="24"/>
      <c r="C21" s="24"/>
      <c r="D21" s="24"/>
      <c r="E21" s="24"/>
      <c r="F21" s="25" t="n">
        <f aca="false">F19+F20</f>
        <v>323900</v>
      </c>
      <c r="G21" s="24"/>
    </row>
    <row r="23" customFormat="false" ht="31.5" hidden="false" customHeight="true" outlineLevel="0" collapsed="false">
      <c r="A23" s="15" t="s">
        <v>57</v>
      </c>
      <c r="B23" s="16" t="s">
        <v>58</v>
      </c>
      <c r="C23" s="16" t="s">
        <v>59</v>
      </c>
      <c r="D23" s="16" t="s">
        <v>60</v>
      </c>
      <c r="E23" s="16" t="s">
        <v>61</v>
      </c>
      <c r="F23" s="16" t="s">
        <v>62</v>
      </c>
      <c r="G23" s="16" t="s">
        <v>13</v>
      </c>
    </row>
    <row r="24" customFormat="false" ht="15" hidden="false" customHeight="false" outlineLevel="0" collapsed="false">
      <c r="A24" s="23" t="s">
        <v>63</v>
      </c>
      <c r="B24" s="17" t="n">
        <v>1</v>
      </c>
      <c r="C24" s="18" t="n">
        <v>160000</v>
      </c>
    </row>
    <row r="25" customFormat="false" ht="15" hidden="false" customHeight="false" outlineLevel="0" collapsed="false">
      <c r="A25" s="23" t="s">
        <v>64</v>
      </c>
      <c r="B25" s="17" t="n">
        <v>1</v>
      </c>
      <c r="C25" s="18" t="n">
        <v>170000</v>
      </c>
      <c r="D25" s="26" t="n">
        <v>0.075</v>
      </c>
      <c r="E25" s="27" t="n">
        <v>15</v>
      </c>
      <c r="F25" s="20" t="n">
        <f aca="false">IF(OR(N(C25)=0,N(E25)=0),0,PMT(N(D25)/12,E25*12,-C25))</f>
        <v>1575.92101200466</v>
      </c>
      <c r="G25" s="3" t="s">
        <v>65</v>
      </c>
    </row>
    <row r="26" customFormat="false" ht="15" hidden="false" customHeight="false" outlineLevel="0" collapsed="false">
      <c r="A26" s="23" t="s">
        <v>66</v>
      </c>
      <c r="B26" s="17"/>
      <c r="C26" s="18"/>
      <c r="D26" s="26"/>
      <c r="E26" s="27"/>
      <c r="F26" s="20" t="n">
        <f aca="false">IF(OR(N(C26)=0,N(E26)=0),0,PMT(N(D26)/12,E26*12,-C26))</f>
        <v>0</v>
      </c>
    </row>
    <row r="27" customFormat="false" ht="15" hidden="false" customHeight="false" outlineLevel="0" collapsed="false">
      <c r="A27" s="23" t="s">
        <v>67</v>
      </c>
      <c r="B27" s="17"/>
      <c r="C27" s="18"/>
    </row>
    <row r="28" customFormat="false" ht="15" hidden="false" customHeight="false" outlineLevel="0" collapsed="false">
      <c r="A28" s="21" t="s">
        <v>68</v>
      </c>
      <c r="B28" s="21"/>
      <c r="C28" s="22" t="n">
        <f aca="false">SUM(C24:C27)</f>
        <v>330000</v>
      </c>
      <c r="D28" s="21"/>
      <c r="E28" s="21"/>
      <c r="F28" s="22" t="n">
        <f aca="false">SUM(F24:F27)</f>
        <v>1575.92101200466</v>
      </c>
      <c r="G28" s="21"/>
    </row>
    <row r="29" customFormat="false" ht="15" hidden="false" customHeight="false" outlineLevel="0" collapsed="false">
      <c r="A29" s="11" t="s">
        <v>69</v>
      </c>
      <c r="C29" s="28" t="n">
        <f aca="false">C28-F21</f>
        <v>6100</v>
      </c>
    </row>
    <row r="31" customFormat="false" ht="19.5" hidden="false" customHeight="true" outlineLevel="0" collapsed="false">
      <c r="A31" s="15" t="s">
        <v>70</v>
      </c>
      <c r="B31" s="16" t="s">
        <v>71</v>
      </c>
      <c r="C31" s="16"/>
      <c r="D31" s="16"/>
      <c r="E31" s="16"/>
      <c r="F31" s="16"/>
      <c r="G31" s="16" t="s">
        <v>13</v>
      </c>
    </row>
    <row r="32" customFormat="false" ht="15" hidden="false" customHeight="false" outlineLevel="0" collapsed="false">
      <c r="A32" s="23" t="s">
        <v>72</v>
      </c>
      <c r="B32" s="29" t="n">
        <v>0.08</v>
      </c>
      <c r="G32" s="3" t="s">
        <v>73</v>
      </c>
    </row>
    <row r="33" customFormat="false" ht="15" hidden="false" customHeight="false" outlineLevel="0" collapsed="false">
      <c r="A33" s="23" t="s">
        <v>74</v>
      </c>
      <c r="B33" s="30" t="n">
        <v>3</v>
      </c>
      <c r="G33" s="3" t="s">
        <v>75</v>
      </c>
    </row>
  </sheetData>
  <dataValidations count="2">
    <dataValidation allowBlank="true" error="Choose a value from the list." errorStyle="stop" errorTitle="Invalid entry" operator="between" showDropDown="false" showErrorMessage="false" showInputMessage="false" sqref="D9:D18" type="list">
      <formula1>"Yes,No"</formula1>
      <formula2>0</formula2>
    </dataValidation>
    <dataValidation allowBlank="true" error="Enter a month number from 1 to 24." errorStyle="stop" operator="between" showDropDown="false" showErrorMessage="false" showInputMessage="false" sqref="B9:B18 B24:B27 B33" type="whole">
      <formula1>1</formula1>
      <formula2>24</formula2>
    </dataValidation>
  </dataValidations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5" min="2" style="0" width="10"/>
    <col collapsed="false" customWidth="true" hidden="false" outlineLevel="0" max="26" min="26" style="0" width="13"/>
  </cols>
  <sheetData>
    <row r="1" customFormat="false" ht="17.35" hidden="false" customHeight="false" outlineLevel="0" collapsed="false">
      <c r="A1" s="10" t="s">
        <v>76</v>
      </c>
    </row>
    <row r="2" customFormat="false" ht="15" hidden="false" customHeight="false" outlineLevel="0" collapsed="false">
      <c r="A2" s="3" t="s">
        <v>77</v>
      </c>
    </row>
    <row r="3" customFormat="false" ht="15" hidden="false" customHeight="false" outlineLevel="0" collapsed="false">
      <c r="A3" s="3" t="s">
        <v>32</v>
      </c>
    </row>
    <row r="5" customFormat="false" ht="15" hidden="false" customHeight="false" outlineLevel="0" collapsed="false">
      <c r="A5" s="3" t="s">
        <v>78</v>
      </c>
      <c r="B5" s="31" t="n">
        <v>1</v>
      </c>
      <c r="C5" s="31" t="n">
        <v>2</v>
      </c>
      <c r="D5" s="31" t="n">
        <v>3</v>
      </c>
      <c r="E5" s="31" t="n">
        <v>4</v>
      </c>
      <c r="F5" s="31" t="n">
        <v>5</v>
      </c>
      <c r="G5" s="31" t="n">
        <v>6</v>
      </c>
      <c r="H5" s="31" t="n">
        <v>7</v>
      </c>
      <c r="I5" s="31" t="n">
        <v>8</v>
      </c>
      <c r="J5" s="31" t="n">
        <v>9</v>
      </c>
      <c r="K5" s="31" t="n">
        <v>10</v>
      </c>
      <c r="L5" s="31" t="n">
        <v>11</v>
      </c>
      <c r="M5" s="31" t="n">
        <v>12</v>
      </c>
      <c r="N5" s="31" t="n">
        <v>13</v>
      </c>
      <c r="O5" s="31" t="n">
        <v>14</v>
      </c>
      <c r="P5" s="31" t="n">
        <v>15</v>
      </c>
      <c r="Q5" s="31" t="n">
        <v>16</v>
      </c>
      <c r="R5" s="31" t="n">
        <v>17</v>
      </c>
      <c r="S5" s="31" t="n">
        <v>18</v>
      </c>
      <c r="T5" s="31" t="n">
        <v>19</v>
      </c>
      <c r="U5" s="31" t="n">
        <v>20</v>
      </c>
      <c r="V5" s="31" t="n">
        <v>21</v>
      </c>
      <c r="W5" s="31" t="n">
        <v>22</v>
      </c>
      <c r="X5" s="31" t="n">
        <v>23</v>
      </c>
      <c r="Y5" s="31" t="n">
        <v>24</v>
      </c>
    </row>
    <row r="6" customFormat="false" ht="30" hidden="false" customHeight="true" outlineLevel="0" collapsed="false">
      <c r="A6" s="15" t="s">
        <v>79</v>
      </c>
      <c r="B6" s="32" t="n">
        <f aca="false">EDATE('Set-up and funding'!$B$5,0)</f>
        <v>46569</v>
      </c>
      <c r="C6" s="32" t="n">
        <f aca="false">EDATE('Set-up and funding'!$B$5,1)</f>
        <v>46600</v>
      </c>
      <c r="D6" s="32" t="n">
        <f aca="false">EDATE('Set-up and funding'!$B$5,2)</f>
        <v>46631</v>
      </c>
      <c r="E6" s="32" t="n">
        <f aca="false">EDATE('Set-up and funding'!$B$5,3)</f>
        <v>46661</v>
      </c>
      <c r="F6" s="32" t="n">
        <f aca="false">EDATE('Set-up and funding'!$B$5,4)</f>
        <v>46692</v>
      </c>
      <c r="G6" s="32" t="n">
        <f aca="false">EDATE('Set-up and funding'!$B$5,5)</f>
        <v>46722</v>
      </c>
      <c r="H6" s="32" t="n">
        <f aca="false">EDATE('Set-up and funding'!$B$5,6)</f>
        <v>46753</v>
      </c>
      <c r="I6" s="32" t="n">
        <f aca="false">EDATE('Set-up and funding'!$B$5,7)</f>
        <v>46784</v>
      </c>
      <c r="J6" s="32" t="n">
        <f aca="false">EDATE('Set-up and funding'!$B$5,8)</f>
        <v>46813</v>
      </c>
      <c r="K6" s="32" t="n">
        <f aca="false">EDATE('Set-up and funding'!$B$5,9)</f>
        <v>46844</v>
      </c>
      <c r="L6" s="32" t="n">
        <f aca="false">EDATE('Set-up and funding'!$B$5,10)</f>
        <v>46874</v>
      </c>
      <c r="M6" s="32" t="n">
        <f aca="false">EDATE('Set-up and funding'!$B$5,11)</f>
        <v>46905</v>
      </c>
      <c r="N6" s="32" t="n">
        <f aca="false">EDATE('Set-up and funding'!$B$5,12)</f>
        <v>46935</v>
      </c>
      <c r="O6" s="32" t="n">
        <f aca="false">EDATE('Set-up and funding'!$B$5,13)</f>
        <v>46966</v>
      </c>
      <c r="P6" s="32" t="n">
        <f aca="false">EDATE('Set-up and funding'!$B$5,14)</f>
        <v>46997</v>
      </c>
      <c r="Q6" s="32" t="n">
        <f aca="false">EDATE('Set-up and funding'!$B$5,15)</f>
        <v>47027</v>
      </c>
      <c r="R6" s="32" t="n">
        <f aca="false">EDATE('Set-up and funding'!$B$5,16)</f>
        <v>47058</v>
      </c>
      <c r="S6" s="32" t="n">
        <f aca="false">EDATE('Set-up and funding'!$B$5,17)</f>
        <v>47088</v>
      </c>
      <c r="T6" s="32" t="n">
        <f aca="false">EDATE('Set-up and funding'!$B$5,18)</f>
        <v>47119</v>
      </c>
      <c r="U6" s="32" t="n">
        <f aca="false">EDATE('Set-up and funding'!$B$5,19)</f>
        <v>47150</v>
      </c>
      <c r="V6" s="32" t="n">
        <f aca="false">EDATE('Set-up and funding'!$B$5,20)</f>
        <v>47178</v>
      </c>
      <c r="W6" s="32" t="n">
        <f aca="false">EDATE('Set-up and funding'!$B$5,21)</f>
        <v>47209</v>
      </c>
      <c r="X6" s="32" t="n">
        <f aca="false">EDATE('Set-up and funding'!$B$5,22)</f>
        <v>47239</v>
      </c>
      <c r="Y6" s="32" t="n">
        <f aca="false">EDATE('Set-up and funding'!$B$5,23)</f>
        <v>47270</v>
      </c>
      <c r="Z6" s="16" t="s">
        <v>80</v>
      </c>
    </row>
    <row r="7" customFormat="false" ht="15" hidden="false" customHeight="false" outlineLevel="0" collapsed="false">
      <c r="A7" s="33" t="s">
        <v>81</v>
      </c>
    </row>
    <row r="8" customFormat="false" ht="15" hidden="false" customHeight="false" outlineLevel="0" collapsed="false">
      <c r="A8" s="23" t="s">
        <v>82</v>
      </c>
      <c r="B8" s="18"/>
      <c r="C8" s="18"/>
      <c r="D8" s="18"/>
      <c r="E8" s="18"/>
      <c r="F8" s="18"/>
      <c r="G8" s="18" t="n">
        <v>30000</v>
      </c>
      <c r="H8" s="18" t="n">
        <v>36000</v>
      </c>
      <c r="I8" s="18" t="n">
        <v>24000</v>
      </c>
      <c r="J8" s="18"/>
      <c r="K8" s="18"/>
      <c r="L8" s="18"/>
      <c r="M8" s="18"/>
      <c r="N8" s="18"/>
      <c r="O8" s="18"/>
      <c r="P8" s="18"/>
      <c r="Q8" s="18"/>
      <c r="R8" s="18"/>
      <c r="S8" s="18" t="n">
        <v>33000</v>
      </c>
      <c r="T8" s="18" t="n">
        <v>39000</v>
      </c>
      <c r="U8" s="18" t="n">
        <v>26000</v>
      </c>
      <c r="V8" s="18"/>
      <c r="W8" s="18"/>
      <c r="X8" s="18"/>
      <c r="Y8" s="18"/>
      <c r="Z8" s="20" t="n">
        <f aca="false">SUM(B8:Y8)</f>
        <v>188000</v>
      </c>
    </row>
    <row r="9" customFormat="false" ht="15" hidden="false" customHeight="false" outlineLevel="0" collapsed="false">
      <c r="A9" s="23" t="s">
        <v>83</v>
      </c>
      <c r="B9" s="18"/>
      <c r="C9" s="18"/>
      <c r="D9" s="18"/>
      <c r="E9" s="18" t="n">
        <v>13500</v>
      </c>
      <c r="F9" s="18"/>
      <c r="G9" s="18"/>
      <c r="H9" s="18"/>
      <c r="I9" s="18"/>
      <c r="J9" s="18" t="n">
        <v>7200</v>
      </c>
      <c r="K9" s="18"/>
      <c r="L9" s="18"/>
      <c r="M9" s="18"/>
      <c r="N9" s="18"/>
      <c r="O9" s="18"/>
      <c r="P9" s="18"/>
      <c r="Q9" s="18" t="n">
        <v>14000</v>
      </c>
      <c r="R9" s="18"/>
      <c r="S9" s="18"/>
      <c r="T9" s="18"/>
      <c r="U9" s="18"/>
      <c r="V9" s="18" t="n">
        <v>7500</v>
      </c>
      <c r="W9" s="18"/>
      <c r="X9" s="18"/>
      <c r="Y9" s="18"/>
      <c r="Z9" s="20" t="n">
        <f aca="false">SUM(B9:Y9)</f>
        <v>42200</v>
      </c>
    </row>
    <row r="10" customFormat="false" ht="15" hidden="false" customHeight="false" outlineLevel="0" collapsed="false">
      <c r="A10" s="23" t="s">
        <v>84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20" t="n">
        <f aca="false">SUM(B10:Y10)</f>
        <v>0</v>
      </c>
    </row>
    <row r="11" customFormat="false" ht="15" hidden="false" customHeight="false" outlineLevel="0" collapsed="false">
      <c r="A11" s="23" t="s">
        <v>85</v>
      </c>
      <c r="B11" s="18" t="n">
        <v>4500</v>
      </c>
      <c r="C11" s="18" t="n">
        <v>4500</v>
      </c>
      <c r="D11" s="18" t="n">
        <v>4500</v>
      </c>
      <c r="E11" s="18" t="n">
        <v>4500</v>
      </c>
      <c r="F11" s="18" t="n">
        <v>4500</v>
      </c>
      <c r="G11" s="18" t="n">
        <v>4500</v>
      </c>
      <c r="H11" s="18" t="n">
        <v>4500</v>
      </c>
      <c r="I11" s="18" t="n">
        <v>4500</v>
      </c>
      <c r="J11" s="18" t="n">
        <v>4500</v>
      </c>
      <c r="K11" s="18" t="n">
        <v>4500</v>
      </c>
      <c r="L11" s="18" t="n">
        <v>4500</v>
      </c>
      <c r="M11" s="18" t="n">
        <v>4500</v>
      </c>
      <c r="N11" s="18" t="n">
        <v>4500</v>
      </c>
      <c r="O11" s="18" t="n">
        <v>4500</v>
      </c>
      <c r="P11" s="18" t="n">
        <v>4500</v>
      </c>
      <c r="Q11" s="18" t="n">
        <v>4500</v>
      </c>
      <c r="R11" s="18" t="n">
        <v>4500</v>
      </c>
      <c r="S11" s="18" t="n">
        <v>4500</v>
      </c>
      <c r="T11" s="18" t="n">
        <v>4500</v>
      </c>
      <c r="U11" s="18" t="n">
        <v>4500</v>
      </c>
      <c r="V11" s="18" t="n">
        <v>4500</v>
      </c>
      <c r="W11" s="18" t="n">
        <v>4500</v>
      </c>
      <c r="X11" s="18" t="n">
        <v>4500</v>
      </c>
      <c r="Y11" s="18" t="n">
        <v>4500</v>
      </c>
      <c r="Z11" s="20" t="n">
        <f aca="false">SUM(B11:Y11)</f>
        <v>108000</v>
      </c>
    </row>
    <row r="12" customFormat="false" ht="15" hidden="false" customHeight="false" outlineLevel="0" collapsed="false">
      <c r="A12" s="23" t="s">
        <v>86</v>
      </c>
      <c r="B12" s="20" t="n">
        <f aca="false">IF('Set-up and funding'!$B$33=B$5,'Set-up and funding'!$E$19,0)</f>
        <v>0</v>
      </c>
      <c r="C12" s="20" t="n">
        <f aca="false">IF('Set-up and funding'!$B$33=C$5,'Set-up and funding'!$E$19,0)</f>
        <v>0</v>
      </c>
      <c r="D12" s="20" t="n">
        <f aca="false">IF('Set-up and funding'!$B$33=D$5,'Set-up and funding'!$E$19,0)</f>
        <v>24900</v>
      </c>
      <c r="E12" s="20" t="n">
        <f aca="false">IF('Set-up and funding'!$B$33=E$5,'Set-up and funding'!$E$19,0)</f>
        <v>0</v>
      </c>
      <c r="F12" s="20" t="n">
        <f aca="false">IF('Set-up and funding'!$B$33=F$5,'Set-up and funding'!$E$19,0)</f>
        <v>0</v>
      </c>
      <c r="G12" s="20" t="n">
        <f aca="false">IF('Set-up and funding'!$B$33=G$5,'Set-up and funding'!$E$19,0)</f>
        <v>0</v>
      </c>
      <c r="H12" s="20" t="n">
        <f aca="false">IF('Set-up and funding'!$B$33=H$5,'Set-up and funding'!$E$19,0)</f>
        <v>0</v>
      </c>
      <c r="I12" s="20" t="n">
        <f aca="false">IF('Set-up and funding'!$B$33=I$5,'Set-up and funding'!$E$19,0)</f>
        <v>0</v>
      </c>
      <c r="J12" s="20" t="n">
        <f aca="false">IF('Set-up and funding'!$B$33=J$5,'Set-up and funding'!$E$19,0)</f>
        <v>0</v>
      </c>
      <c r="K12" s="20" t="n">
        <f aca="false">IF('Set-up and funding'!$B$33=K$5,'Set-up and funding'!$E$19,0)</f>
        <v>0</v>
      </c>
      <c r="L12" s="20" t="n">
        <f aca="false">IF('Set-up and funding'!$B$33=L$5,'Set-up and funding'!$E$19,0)</f>
        <v>0</v>
      </c>
      <c r="M12" s="20" t="n">
        <f aca="false">IF('Set-up and funding'!$B$33=M$5,'Set-up and funding'!$E$19,0)</f>
        <v>0</v>
      </c>
      <c r="N12" s="20" t="n">
        <f aca="false">IF('Set-up and funding'!$B$33=N$5,'Set-up and funding'!$E$19,0)</f>
        <v>0</v>
      </c>
      <c r="O12" s="20" t="n">
        <f aca="false">IF('Set-up and funding'!$B$33=O$5,'Set-up and funding'!$E$19,0)</f>
        <v>0</v>
      </c>
      <c r="P12" s="20" t="n">
        <f aca="false">IF('Set-up and funding'!$B$33=P$5,'Set-up and funding'!$E$19,0)</f>
        <v>0</v>
      </c>
      <c r="Q12" s="20" t="n">
        <f aca="false">IF('Set-up and funding'!$B$33=Q$5,'Set-up and funding'!$E$19,0)</f>
        <v>0</v>
      </c>
      <c r="R12" s="20" t="n">
        <f aca="false">IF('Set-up and funding'!$B$33=R$5,'Set-up and funding'!$E$19,0)</f>
        <v>0</v>
      </c>
      <c r="S12" s="20" t="n">
        <f aca="false">IF('Set-up and funding'!$B$33=S$5,'Set-up and funding'!$E$19,0)</f>
        <v>0</v>
      </c>
      <c r="T12" s="20" t="n">
        <f aca="false">IF('Set-up and funding'!$B$33=T$5,'Set-up and funding'!$E$19,0)</f>
        <v>0</v>
      </c>
      <c r="U12" s="20" t="n">
        <f aca="false">IF('Set-up and funding'!$B$33=U$5,'Set-up and funding'!$E$19,0)</f>
        <v>0</v>
      </c>
      <c r="V12" s="20" t="n">
        <f aca="false">IF('Set-up and funding'!$B$33=V$5,'Set-up and funding'!$E$19,0)</f>
        <v>0</v>
      </c>
      <c r="W12" s="20" t="n">
        <f aca="false">IF('Set-up and funding'!$B$33=W$5,'Set-up and funding'!$E$19,0)</f>
        <v>0</v>
      </c>
      <c r="X12" s="20" t="n">
        <f aca="false">IF('Set-up and funding'!$B$33=X$5,'Set-up and funding'!$E$19,0)</f>
        <v>0</v>
      </c>
      <c r="Y12" s="20" t="n">
        <f aca="false">IF('Set-up and funding'!$B$33=Y$5,'Set-up and funding'!$E$19,0)</f>
        <v>0</v>
      </c>
      <c r="Z12" s="20" t="n">
        <f aca="false">SUM(B12:Y12)</f>
        <v>24900</v>
      </c>
    </row>
    <row r="13" customFormat="false" ht="15" hidden="false" customHeight="false" outlineLevel="0" collapsed="false">
      <c r="A13" s="23" t="s">
        <v>87</v>
      </c>
      <c r="B13" s="20" t="n">
        <f aca="false">SUMIF('Set-up and funding'!$B$24:$B$27,B$5,'Set-up and funding'!$C$24:$C$27)</f>
        <v>330000</v>
      </c>
      <c r="C13" s="20" t="n">
        <f aca="false">SUMIF('Set-up and funding'!$B$24:$B$27,C$5,'Set-up and funding'!$C$24:$C$27)</f>
        <v>0</v>
      </c>
      <c r="D13" s="20" t="n">
        <f aca="false">SUMIF('Set-up and funding'!$B$24:$B$27,D$5,'Set-up and funding'!$C$24:$C$27)</f>
        <v>0</v>
      </c>
      <c r="E13" s="20" t="n">
        <f aca="false">SUMIF('Set-up and funding'!$B$24:$B$27,E$5,'Set-up and funding'!$C$24:$C$27)</f>
        <v>0</v>
      </c>
      <c r="F13" s="20" t="n">
        <f aca="false">SUMIF('Set-up and funding'!$B$24:$B$27,F$5,'Set-up and funding'!$C$24:$C$27)</f>
        <v>0</v>
      </c>
      <c r="G13" s="20" t="n">
        <f aca="false">SUMIF('Set-up and funding'!$B$24:$B$27,G$5,'Set-up and funding'!$C$24:$C$27)</f>
        <v>0</v>
      </c>
      <c r="H13" s="20" t="n">
        <f aca="false">SUMIF('Set-up and funding'!$B$24:$B$27,H$5,'Set-up and funding'!$C$24:$C$27)</f>
        <v>0</v>
      </c>
      <c r="I13" s="20" t="n">
        <f aca="false">SUMIF('Set-up and funding'!$B$24:$B$27,I$5,'Set-up and funding'!$C$24:$C$27)</f>
        <v>0</v>
      </c>
      <c r="J13" s="20" t="n">
        <f aca="false">SUMIF('Set-up and funding'!$B$24:$B$27,J$5,'Set-up and funding'!$C$24:$C$27)</f>
        <v>0</v>
      </c>
      <c r="K13" s="20" t="n">
        <f aca="false">SUMIF('Set-up and funding'!$B$24:$B$27,K$5,'Set-up and funding'!$C$24:$C$27)</f>
        <v>0</v>
      </c>
      <c r="L13" s="20" t="n">
        <f aca="false">SUMIF('Set-up and funding'!$B$24:$B$27,L$5,'Set-up and funding'!$C$24:$C$27)</f>
        <v>0</v>
      </c>
      <c r="M13" s="20" t="n">
        <f aca="false">SUMIF('Set-up and funding'!$B$24:$B$27,M$5,'Set-up and funding'!$C$24:$C$27)</f>
        <v>0</v>
      </c>
      <c r="N13" s="20" t="n">
        <f aca="false">SUMIF('Set-up and funding'!$B$24:$B$27,N$5,'Set-up and funding'!$C$24:$C$27)</f>
        <v>0</v>
      </c>
      <c r="O13" s="20" t="n">
        <f aca="false">SUMIF('Set-up and funding'!$B$24:$B$27,O$5,'Set-up and funding'!$C$24:$C$27)</f>
        <v>0</v>
      </c>
      <c r="P13" s="20" t="n">
        <f aca="false">SUMIF('Set-up and funding'!$B$24:$B$27,P$5,'Set-up and funding'!$C$24:$C$27)</f>
        <v>0</v>
      </c>
      <c r="Q13" s="20" t="n">
        <f aca="false">SUMIF('Set-up and funding'!$B$24:$B$27,Q$5,'Set-up and funding'!$C$24:$C$27)</f>
        <v>0</v>
      </c>
      <c r="R13" s="20" t="n">
        <f aca="false">SUMIF('Set-up and funding'!$B$24:$B$27,R$5,'Set-up and funding'!$C$24:$C$27)</f>
        <v>0</v>
      </c>
      <c r="S13" s="20" t="n">
        <f aca="false">SUMIF('Set-up and funding'!$B$24:$B$27,S$5,'Set-up and funding'!$C$24:$C$27)</f>
        <v>0</v>
      </c>
      <c r="T13" s="20" t="n">
        <f aca="false">SUMIF('Set-up and funding'!$B$24:$B$27,T$5,'Set-up and funding'!$C$24:$C$27)</f>
        <v>0</v>
      </c>
      <c r="U13" s="20" t="n">
        <f aca="false">SUMIF('Set-up and funding'!$B$24:$B$27,U$5,'Set-up and funding'!$C$24:$C$27)</f>
        <v>0</v>
      </c>
      <c r="V13" s="20" t="n">
        <f aca="false">SUMIF('Set-up and funding'!$B$24:$B$27,V$5,'Set-up and funding'!$C$24:$C$27)</f>
        <v>0</v>
      </c>
      <c r="W13" s="20" t="n">
        <f aca="false">SUMIF('Set-up and funding'!$B$24:$B$27,W$5,'Set-up and funding'!$C$24:$C$27)</f>
        <v>0</v>
      </c>
      <c r="X13" s="20" t="n">
        <f aca="false">SUMIF('Set-up and funding'!$B$24:$B$27,X$5,'Set-up and funding'!$C$24:$C$27)</f>
        <v>0</v>
      </c>
      <c r="Y13" s="20" t="n">
        <f aca="false">SUMIF('Set-up and funding'!$B$24:$B$27,Y$5,'Set-up and funding'!$C$24:$C$27)</f>
        <v>0</v>
      </c>
      <c r="Z13" s="20" t="n">
        <f aca="false">SUM(B13:Y13)</f>
        <v>330000</v>
      </c>
    </row>
    <row r="14" customFormat="false" ht="15" hidden="false" customHeight="false" outlineLevel="0" collapsed="false">
      <c r="A14" s="21" t="s">
        <v>88</v>
      </c>
      <c r="B14" s="22" t="n">
        <f aca="false">SUM(B8:B13)</f>
        <v>334500</v>
      </c>
      <c r="C14" s="22" t="n">
        <f aca="false">SUM(C8:C13)</f>
        <v>4500</v>
      </c>
      <c r="D14" s="22" t="n">
        <f aca="false">SUM(D8:D13)</f>
        <v>29400</v>
      </c>
      <c r="E14" s="22" t="n">
        <f aca="false">SUM(E8:E13)</f>
        <v>18000</v>
      </c>
      <c r="F14" s="22" t="n">
        <f aca="false">SUM(F8:F13)</f>
        <v>4500</v>
      </c>
      <c r="G14" s="22" t="n">
        <f aca="false">SUM(G8:G13)</f>
        <v>34500</v>
      </c>
      <c r="H14" s="22" t="n">
        <f aca="false">SUM(H8:H13)</f>
        <v>40500</v>
      </c>
      <c r="I14" s="22" t="n">
        <f aca="false">SUM(I8:I13)</f>
        <v>28500</v>
      </c>
      <c r="J14" s="22" t="n">
        <f aca="false">SUM(J8:J13)</f>
        <v>11700</v>
      </c>
      <c r="K14" s="22" t="n">
        <f aca="false">SUM(K8:K13)</f>
        <v>4500</v>
      </c>
      <c r="L14" s="22" t="n">
        <f aca="false">SUM(L8:L13)</f>
        <v>4500</v>
      </c>
      <c r="M14" s="22" t="n">
        <f aca="false">SUM(M8:M13)</f>
        <v>4500</v>
      </c>
      <c r="N14" s="22" t="n">
        <f aca="false">SUM(N8:N13)</f>
        <v>4500</v>
      </c>
      <c r="O14" s="22" t="n">
        <f aca="false">SUM(O8:O13)</f>
        <v>4500</v>
      </c>
      <c r="P14" s="22" t="n">
        <f aca="false">SUM(P8:P13)</f>
        <v>4500</v>
      </c>
      <c r="Q14" s="22" t="n">
        <f aca="false">SUM(Q8:Q13)</f>
        <v>18500</v>
      </c>
      <c r="R14" s="22" t="n">
        <f aca="false">SUM(R8:R13)</f>
        <v>4500</v>
      </c>
      <c r="S14" s="22" t="n">
        <f aca="false">SUM(S8:S13)</f>
        <v>37500</v>
      </c>
      <c r="T14" s="22" t="n">
        <f aca="false">SUM(T8:T13)</f>
        <v>43500</v>
      </c>
      <c r="U14" s="22" t="n">
        <f aca="false">SUM(U8:U13)</f>
        <v>30500</v>
      </c>
      <c r="V14" s="22" t="n">
        <f aca="false">SUM(V8:V13)</f>
        <v>12000</v>
      </c>
      <c r="W14" s="22" t="n">
        <f aca="false">SUM(W8:W13)</f>
        <v>4500</v>
      </c>
      <c r="X14" s="22" t="n">
        <f aca="false">SUM(X8:X13)</f>
        <v>4500</v>
      </c>
      <c r="Y14" s="22" t="n">
        <f aca="false">SUM(Y8:Y13)</f>
        <v>4500</v>
      </c>
      <c r="Z14" s="22" t="n">
        <f aca="false">SUM(Z8:Z13)</f>
        <v>693100</v>
      </c>
    </row>
    <row r="16" customFormat="false" ht="15" hidden="false" customHeight="false" outlineLevel="0" collapsed="false">
      <c r="A16" s="33" t="s">
        <v>89</v>
      </c>
    </row>
    <row r="17" customFormat="false" ht="15" hidden="false" customHeight="false" outlineLevel="0" collapsed="false">
      <c r="A17" s="23" t="s">
        <v>90</v>
      </c>
      <c r="B17" s="20" t="n">
        <f aca="false">SUMIF('Set-up and funding'!$B$9:$B$18,B$5,'Set-up and funding'!$F$9:$F$18)</f>
        <v>260900</v>
      </c>
      <c r="C17" s="20" t="n">
        <f aca="false">SUMIF('Set-up and funding'!$B$9:$B$18,C$5,'Set-up and funding'!$F$9:$F$18)</f>
        <v>33000</v>
      </c>
      <c r="D17" s="20" t="n">
        <f aca="false">SUMIF('Set-up and funding'!$B$9:$B$18,D$5,'Set-up and funding'!$F$9:$F$18)</f>
        <v>0</v>
      </c>
      <c r="E17" s="20" t="n">
        <f aca="false">SUMIF('Set-up and funding'!$B$9:$B$18,E$5,'Set-up and funding'!$F$9:$F$18)</f>
        <v>0</v>
      </c>
      <c r="F17" s="20" t="n">
        <f aca="false">SUMIF('Set-up and funding'!$B$9:$B$18,F$5,'Set-up and funding'!$F$9:$F$18)</f>
        <v>0</v>
      </c>
      <c r="G17" s="20" t="n">
        <f aca="false">SUMIF('Set-up and funding'!$B$9:$B$18,G$5,'Set-up and funding'!$F$9:$F$18)</f>
        <v>0</v>
      </c>
      <c r="H17" s="20" t="n">
        <f aca="false">SUMIF('Set-up and funding'!$B$9:$B$18,H$5,'Set-up and funding'!$F$9:$F$18)</f>
        <v>0</v>
      </c>
      <c r="I17" s="20" t="n">
        <f aca="false">SUMIF('Set-up and funding'!$B$9:$B$18,I$5,'Set-up and funding'!$F$9:$F$18)</f>
        <v>0</v>
      </c>
      <c r="J17" s="20" t="n">
        <f aca="false">SUMIF('Set-up and funding'!$B$9:$B$18,J$5,'Set-up and funding'!$F$9:$F$18)</f>
        <v>0</v>
      </c>
      <c r="K17" s="20" t="n">
        <f aca="false">SUMIF('Set-up and funding'!$B$9:$B$18,K$5,'Set-up and funding'!$F$9:$F$18)</f>
        <v>0</v>
      </c>
      <c r="L17" s="20" t="n">
        <f aca="false">SUMIF('Set-up and funding'!$B$9:$B$18,L$5,'Set-up and funding'!$F$9:$F$18)</f>
        <v>0</v>
      </c>
      <c r="M17" s="20" t="n">
        <f aca="false">SUMIF('Set-up and funding'!$B$9:$B$18,M$5,'Set-up and funding'!$F$9:$F$18)</f>
        <v>0</v>
      </c>
      <c r="N17" s="20" t="n">
        <f aca="false">SUMIF('Set-up and funding'!$B$9:$B$18,N$5,'Set-up and funding'!$F$9:$F$18)</f>
        <v>0</v>
      </c>
      <c r="O17" s="20" t="n">
        <f aca="false">SUMIF('Set-up and funding'!$B$9:$B$18,O$5,'Set-up and funding'!$F$9:$F$18)</f>
        <v>0</v>
      </c>
      <c r="P17" s="20" t="n">
        <f aca="false">SUMIF('Set-up and funding'!$B$9:$B$18,P$5,'Set-up and funding'!$F$9:$F$18)</f>
        <v>0</v>
      </c>
      <c r="Q17" s="20" t="n">
        <f aca="false">SUMIF('Set-up and funding'!$B$9:$B$18,Q$5,'Set-up and funding'!$F$9:$F$18)</f>
        <v>0</v>
      </c>
      <c r="R17" s="20" t="n">
        <f aca="false">SUMIF('Set-up and funding'!$B$9:$B$18,R$5,'Set-up and funding'!$F$9:$F$18)</f>
        <v>0</v>
      </c>
      <c r="S17" s="20" t="n">
        <f aca="false">SUMIF('Set-up and funding'!$B$9:$B$18,S$5,'Set-up and funding'!$F$9:$F$18)</f>
        <v>0</v>
      </c>
      <c r="T17" s="20" t="n">
        <f aca="false">SUMIF('Set-up and funding'!$B$9:$B$18,T$5,'Set-up and funding'!$F$9:$F$18)</f>
        <v>0</v>
      </c>
      <c r="U17" s="20" t="n">
        <f aca="false">SUMIF('Set-up and funding'!$B$9:$B$18,U$5,'Set-up and funding'!$F$9:$F$18)</f>
        <v>0</v>
      </c>
      <c r="V17" s="20" t="n">
        <f aca="false">SUMIF('Set-up and funding'!$B$9:$B$18,V$5,'Set-up and funding'!$F$9:$F$18)</f>
        <v>0</v>
      </c>
      <c r="W17" s="20" t="n">
        <f aca="false">SUMIF('Set-up and funding'!$B$9:$B$18,W$5,'Set-up and funding'!$F$9:$F$18)</f>
        <v>0</v>
      </c>
      <c r="X17" s="20" t="n">
        <f aca="false">SUMIF('Set-up and funding'!$B$9:$B$18,X$5,'Set-up and funding'!$F$9:$F$18)</f>
        <v>0</v>
      </c>
      <c r="Y17" s="20" t="n">
        <f aca="false">SUMIF('Set-up and funding'!$B$9:$B$18,Y$5,'Set-up and funding'!$F$9:$F$18)</f>
        <v>0</v>
      </c>
      <c r="Z17" s="20" t="n">
        <f aca="false">SUM(B17:Y17)</f>
        <v>293900</v>
      </c>
    </row>
    <row r="18" customFormat="false" ht="15" hidden="false" customHeight="false" outlineLevel="0" collapsed="false">
      <c r="A18" s="23" t="s">
        <v>91</v>
      </c>
      <c r="B18" s="18" t="n">
        <v>25000</v>
      </c>
      <c r="C18" s="18"/>
      <c r="D18" s="18"/>
      <c r="E18" s="18"/>
      <c r="F18" s="18"/>
      <c r="G18" s="18"/>
      <c r="H18" s="18" t="n">
        <v>25000</v>
      </c>
      <c r="I18" s="18"/>
      <c r="J18" s="18"/>
      <c r="K18" s="18"/>
      <c r="L18" s="18"/>
      <c r="M18" s="18"/>
      <c r="N18" s="18" t="n">
        <v>25750</v>
      </c>
      <c r="O18" s="18"/>
      <c r="P18" s="18"/>
      <c r="Q18" s="18"/>
      <c r="R18" s="18"/>
      <c r="S18" s="18"/>
      <c r="T18" s="18" t="n">
        <v>25750</v>
      </c>
      <c r="U18" s="18"/>
      <c r="V18" s="18"/>
      <c r="W18" s="18"/>
      <c r="X18" s="18"/>
      <c r="Y18" s="18"/>
      <c r="Z18" s="20" t="n">
        <f aca="false">SUM(B18:Y18)</f>
        <v>101500</v>
      </c>
      <c r="AA18" s="3" t="s">
        <v>92</v>
      </c>
    </row>
    <row r="19" customFormat="false" ht="15" hidden="false" customHeight="false" outlineLevel="0" collapsed="false">
      <c r="A19" s="23" t="s">
        <v>93</v>
      </c>
      <c r="B19" s="18" t="n">
        <v>1200</v>
      </c>
      <c r="C19" s="18" t="n">
        <v>1200</v>
      </c>
      <c r="D19" s="18" t="n">
        <v>1200</v>
      </c>
      <c r="E19" s="18" t="n">
        <v>1200</v>
      </c>
      <c r="F19" s="18" t="n">
        <v>1200</v>
      </c>
      <c r="G19" s="18" t="n">
        <v>1200</v>
      </c>
      <c r="H19" s="18" t="n">
        <v>1200</v>
      </c>
      <c r="I19" s="18" t="n">
        <v>1200</v>
      </c>
      <c r="J19" s="18" t="n">
        <v>3000</v>
      </c>
      <c r="K19" s="18" t="n">
        <v>3000</v>
      </c>
      <c r="L19" s="18" t="n">
        <v>3000</v>
      </c>
      <c r="M19" s="18" t="n">
        <v>1200</v>
      </c>
      <c r="N19" s="18" t="n">
        <v>1200</v>
      </c>
      <c r="O19" s="18" t="n">
        <v>1200</v>
      </c>
      <c r="P19" s="18" t="n">
        <v>1200</v>
      </c>
      <c r="Q19" s="18" t="n">
        <v>1200</v>
      </c>
      <c r="R19" s="18" t="n">
        <v>1200</v>
      </c>
      <c r="S19" s="18" t="n">
        <v>1200</v>
      </c>
      <c r="T19" s="18" t="n">
        <v>1200</v>
      </c>
      <c r="U19" s="18" t="n">
        <v>1200</v>
      </c>
      <c r="V19" s="18" t="n">
        <v>3000</v>
      </c>
      <c r="W19" s="18" t="n">
        <v>3000</v>
      </c>
      <c r="X19" s="18" t="n">
        <v>3000</v>
      </c>
      <c r="Y19" s="18" t="n">
        <v>1200</v>
      </c>
      <c r="Z19" s="20" t="n">
        <f aca="false">SUM(B19:Y19)</f>
        <v>39600</v>
      </c>
    </row>
    <row r="20" customFormat="false" ht="15" hidden="false" customHeight="false" outlineLevel="0" collapsed="false">
      <c r="A20" s="23" t="s">
        <v>94</v>
      </c>
      <c r="B20" s="18" t="n">
        <v>600</v>
      </c>
      <c r="C20" s="18" t="n">
        <v>600</v>
      </c>
      <c r="D20" s="18" t="n">
        <v>600</v>
      </c>
      <c r="E20" s="18" t="n">
        <v>600</v>
      </c>
      <c r="F20" s="18" t="n">
        <v>600</v>
      </c>
      <c r="G20" s="18" t="n">
        <v>600</v>
      </c>
      <c r="H20" s="18" t="n">
        <v>600</v>
      </c>
      <c r="I20" s="18" t="n">
        <v>600</v>
      </c>
      <c r="J20" s="18" t="n">
        <v>600</v>
      </c>
      <c r="K20" s="18" t="n">
        <v>600</v>
      </c>
      <c r="L20" s="18" t="n">
        <v>600</v>
      </c>
      <c r="M20" s="18" t="n">
        <v>600</v>
      </c>
      <c r="N20" s="18" t="n">
        <v>600</v>
      </c>
      <c r="O20" s="18" t="n">
        <v>600</v>
      </c>
      <c r="P20" s="18" t="n">
        <v>600</v>
      </c>
      <c r="Q20" s="18" t="n">
        <v>600</v>
      </c>
      <c r="R20" s="18" t="n">
        <v>600</v>
      </c>
      <c r="S20" s="18" t="n">
        <v>600</v>
      </c>
      <c r="T20" s="18" t="n">
        <v>600</v>
      </c>
      <c r="U20" s="18" t="n">
        <v>600</v>
      </c>
      <c r="V20" s="18" t="n">
        <v>600</v>
      </c>
      <c r="W20" s="18" t="n">
        <v>600</v>
      </c>
      <c r="X20" s="18" t="n">
        <v>600</v>
      </c>
      <c r="Y20" s="18" t="n">
        <v>600</v>
      </c>
      <c r="Z20" s="20" t="n">
        <f aca="false">SUM(B20:Y20)</f>
        <v>14400</v>
      </c>
    </row>
    <row r="21" customFormat="false" ht="15" hidden="false" customHeight="false" outlineLevel="0" collapsed="false">
      <c r="A21" s="23" t="s">
        <v>95</v>
      </c>
      <c r="B21" s="18"/>
      <c r="C21" s="18"/>
      <c r="D21" s="18"/>
      <c r="E21" s="18" t="n">
        <v>7000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 t="n">
        <v>7200</v>
      </c>
      <c r="R21" s="18"/>
      <c r="S21" s="18"/>
      <c r="T21" s="18"/>
      <c r="U21" s="18"/>
      <c r="V21" s="18"/>
      <c r="W21" s="18"/>
      <c r="X21" s="18"/>
      <c r="Y21" s="18"/>
      <c r="Z21" s="20" t="n">
        <f aca="false">SUM(B21:Y21)</f>
        <v>14200</v>
      </c>
    </row>
    <row r="22" customFormat="false" ht="15" hidden="false" customHeight="false" outlineLevel="0" collapsed="false">
      <c r="A22" s="23" t="s">
        <v>96</v>
      </c>
      <c r="B22" s="18" t="n">
        <v>900</v>
      </c>
      <c r="C22" s="18" t="n">
        <v>900</v>
      </c>
      <c r="D22" s="18" t="n">
        <v>900</v>
      </c>
      <c r="E22" s="18" t="n">
        <v>900</v>
      </c>
      <c r="F22" s="18" t="n">
        <v>900</v>
      </c>
      <c r="G22" s="18" t="n">
        <v>900</v>
      </c>
      <c r="H22" s="18" t="n">
        <v>900</v>
      </c>
      <c r="I22" s="18" t="n">
        <v>900</v>
      </c>
      <c r="J22" s="18" t="n">
        <v>900</v>
      </c>
      <c r="K22" s="18" t="n">
        <v>900</v>
      </c>
      <c r="L22" s="18" t="n">
        <v>900</v>
      </c>
      <c r="M22" s="18" t="n">
        <v>900</v>
      </c>
      <c r="N22" s="18" t="n">
        <v>900</v>
      </c>
      <c r="O22" s="18" t="n">
        <v>900</v>
      </c>
      <c r="P22" s="18" t="n">
        <v>900</v>
      </c>
      <c r="Q22" s="18" t="n">
        <v>900</v>
      </c>
      <c r="R22" s="18" t="n">
        <v>900</v>
      </c>
      <c r="S22" s="18" t="n">
        <v>900</v>
      </c>
      <c r="T22" s="18" t="n">
        <v>900</v>
      </c>
      <c r="U22" s="18" t="n">
        <v>900</v>
      </c>
      <c r="V22" s="18" t="n">
        <v>900</v>
      </c>
      <c r="W22" s="18" t="n">
        <v>900</v>
      </c>
      <c r="X22" s="18" t="n">
        <v>900</v>
      </c>
      <c r="Y22" s="18" t="n">
        <v>900</v>
      </c>
      <c r="Z22" s="20" t="n">
        <f aca="false">SUM(B22:Y22)</f>
        <v>21600</v>
      </c>
    </row>
    <row r="23" customFormat="false" ht="15" hidden="false" customHeight="false" outlineLevel="0" collapsed="false">
      <c r="A23" s="23" t="s">
        <v>97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 t="n">
        <v>4000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20" t="n">
        <f aca="false">SUM(B23:Y23)</f>
        <v>4000</v>
      </c>
    </row>
    <row r="24" customFormat="false" ht="15" hidden="false" customHeight="false" outlineLevel="0" collapsed="false">
      <c r="A24" s="23" t="s">
        <v>98</v>
      </c>
      <c r="B24" s="18" t="n">
        <v>300</v>
      </c>
      <c r="C24" s="18" t="n">
        <v>300</v>
      </c>
      <c r="D24" s="18" t="n">
        <v>300</v>
      </c>
      <c r="E24" s="18" t="n">
        <v>300</v>
      </c>
      <c r="F24" s="18" t="n">
        <v>300</v>
      </c>
      <c r="G24" s="18" t="n">
        <v>300</v>
      </c>
      <c r="H24" s="18" t="n">
        <v>300</v>
      </c>
      <c r="I24" s="18" t="n">
        <v>300</v>
      </c>
      <c r="J24" s="18" t="n">
        <v>300</v>
      </c>
      <c r="K24" s="18" t="n">
        <v>300</v>
      </c>
      <c r="L24" s="18" t="n">
        <v>300</v>
      </c>
      <c r="M24" s="18" t="n">
        <v>300</v>
      </c>
      <c r="N24" s="18" t="n">
        <v>300</v>
      </c>
      <c r="O24" s="18" t="n">
        <v>300</v>
      </c>
      <c r="P24" s="18" t="n">
        <v>300</v>
      </c>
      <c r="Q24" s="18" t="n">
        <v>300</v>
      </c>
      <c r="R24" s="18" t="n">
        <v>300</v>
      </c>
      <c r="S24" s="18" t="n">
        <v>300</v>
      </c>
      <c r="T24" s="18" t="n">
        <v>300</v>
      </c>
      <c r="U24" s="18" t="n">
        <v>300</v>
      </c>
      <c r="V24" s="18" t="n">
        <v>300</v>
      </c>
      <c r="W24" s="18" t="n">
        <v>300</v>
      </c>
      <c r="X24" s="18" t="n">
        <v>300</v>
      </c>
      <c r="Y24" s="18" t="n">
        <v>300</v>
      </c>
      <c r="Z24" s="20" t="n">
        <f aca="false">SUM(B24:Y24)</f>
        <v>7200</v>
      </c>
    </row>
    <row r="25" customFormat="false" ht="15" hidden="false" customHeight="false" outlineLevel="0" collapsed="false">
      <c r="A25" s="23" t="s">
        <v>99</v>
      </c>
      <c r="B25" s="20" t="n">
        <f aca="false">(B8+B9)*'Set-up and funding'!$B$32</f>
        <v>0</v>
      </c>
      <c r="C25" s="20" t="n">
        <f aca="false">(C8+C9)*'Set-up and funding'!$B$32</f>
        <v>0</v>
      </c>
      <c r="D25" s="20" t="n">
        <f aca="false">(D8+D9)*'Set-up and funding'!$B$32</f>
        <v>0</v>
      </c>
      <c r="E25" s="20" t="n">
        <f aca="false">(E8+E9)*'Set-up and funding'!$B$32</f>
        <v>1080</v>
      </c>
      <c r="F25" s="20" t="n">
        <f aca="false">(F8+F9)*'Set-up and funding'!$B$32</f>
        <v>0</v>
      </c>
      <c r="G25" s="20" t="n">
        <f aca="false">(G8+G9)*'Set-up and funding'!$B$32</f>
        <v>2400</v>
      </c>
      <c r="H25" s="20" t="n">
        <f aca="false">(H8+H9)*'Set-up and funding'!$B$32</f>
        <v>2880</v>
      </c>
      <c r="I25" s="20" t="n">
        <f aca="false">(I8+I9)*'Set-up and funding'!$B$32</f>
        <v>1920</v>
      </c>
      <c r="J25" s="20" t="n">
        <f aca="false">(J8+J9)*'Set-up and funding'!$B$32</f>
        <v>576</v>
      </c>
      <c r="K25" s="20" t="n">
        <f aca="false">(K8+K9)*'Set-up and funding'!$B$32</f>
        <v>0</v>
      </c>
      <c r="L25" s="20" t="n">
        <f aca="false">(L8+L9)*'Set-up and funding'!$B$32</f>
        <v>0</v>
      </c>
      <c r="M25" s="20" t="n">
        <f aca="false">(M8+M9)*'Set-up and funding'!$B$32</f>
        <v>0</v>
      </c>
      <c r="N25" s="20" t="n">
        <f aca="false">(N8+N9)*'Set-up and funding'!$B$32</f>
        <v>0</v>
      </c>
      <c r="O25" s="20" t="n">
        <f aca="false">(O8+O9)*'Set-up and funding'!$B$32</f>
        <v>0</v>
      </c>
      <c r="P25" s="20" t="n">
        <f aca="false">(P8+P9)*'Set-up and funding'!$B$32</f>
        <v>0</v>
      </c>
      <c r="Q25" s="20" t="n">
        <f aca="false">(Q8+Q9)*'Set-up and funding'!$B$32</f>
        <v>1120</v>
      </c>
      <c r="R25" s="20" t="n">
        <f aca="false">(R8+R9)*'Set-up and funding'!$B$32</f>
        <v>0</v>
      </c>
      <c r="S25" s="20" t="n">
        <f aca="false">(S8+S9)*'Set-up and funding'!$B$32</f>
        <v>2640</v>
      </c>
      <c r="T25" s="20" t="n">
        <f aca="false">(T8+T9)*'Set-up and funding'!$B$32</f>
        <v>3120</v>
      </c>
      <c r="U25" s="20" t="n">
        <f aca="false">(U8+U9)*'Set-up and funding'!$B$32</f>
        <v>2080</v>
      </c>
      <c r="V25" s="20" t="n">
        <f aca="false">(V8+V9)*'Set-up and funding'!$B$32</f>
        <v>600</v>
      </c>
      <c r="W25" s="20" t="n">
        <f aca="false">(W8+W9)*'Set-up and funding'!$B$32</f>
        <v>0</v>
      </c>
      <c r="X25" s="20" t="n">
        <f aca="false">(X8+X9)*'Set-up and funding'!$B$32</f>
        <v>0</v>
      </c>
      <c r="Y25" s="20" t="n">
        <f aca="false">(Y8+Y9)*'Set-up and funding'!$B$32</f>
        <v>0</v>
      </c>
      <c r="Z25" s="20" t="n">
        <f aca="false">SUM(B25:Y25)</f>
        <v>18416</v>
      </c>
    </row>
    <row r="26" customFormat="false" ht="15" hidden="false" customHeight="false" outlineLevel="0" collapsed="false">
      <c r="A26" s="23" t="s">
        <v>100</v>
      </c>
      <c r="B26" s="20" t="n">
        <f aca="false">IF(B$5&gt;N('Set-up and funding'!$B$25),'Set-up and funding'!$F$25,0)+IF(B$5&gt;N('Set-up and funding'!$B$26),'Set-up and funding'!$F$26,0)</f>
        <v>0</v>
      </c>
      <c r="C26" s="20" t="n">
        <f aca="false">IF(C$5&gt;N('Set-up and funding'!$B$25),'Set-up and funding'!$F$25,0)+IF(C$5&gt;N('Set-up and funding'!$B$26),'Set-up and funding'!$F$26,0)</f>
        <v>1575.92101200466</v>
      </c>
      <c r="D26" s="20" t="n">
        <f aca="false">IF(D$5&gt;N('Set-up and funding'!$B$25),'Set-up and funding'!$F$25,0)+IF(D$5&gt;N('Set-up and funding'!$B$26),'Set-up and funding'!$F$26,0)</f>
        <v>1575.92101200466</v>
      </c>
      <c r="E26" s="20" t="n">
        <f aca="false">IF(E$5&gt;N('Set-up and funding'!$B$25),'Set-up and funding'!$F$25,0)+IF(E$5&gt;N('Set-up and funding'!$B$26),'Set-up and funding'!$F$26,0)</f>
        <v>1575.92101200466</v>
      </c>
      <c r="F26" s="20" t="n">
        <f aca="false">IF(F$5&gt;N('Set-up and funding'!$B$25),'Set-up and funding'!$F$25,0)+IF(F$5&gt;N('Set-up and funding'!$B$26),'Set-up and funding'!$F$26,0)</f>
        <v>1575.92101200466</v>
      </c>
      <c r="G26" s="20" t="n">
        <f aca="false">IF(G$5&gt;N('Set-up and funding'!$B$25),'Set-up and funding'!$F$25,0)+IF(G$5&gt;N('Set-up and funding'!$B$26),'Set-up and funding'!$F$26,0)</f>
        <v>1575.92101200466</v>
      </c>
      <c r="H26" s="20" t="n">
        <f aca="false">IF(H$5&gt;N('Set-up and funding'!$B$25),'Set-up and funding'!$F$25,0)+IF(H$5&gt;N('Set-up and funding'!$B$26),'Set-up and funding'!$F$26,0)</f>
        <v>1575.92101200466</v>
      </c>
      <c r="I26" s="20" t="n">
        <f aca="false">IF(I$5&gt;N('Set-up and funding'!$B$25),'Set-up and funding'!$F$25,0)+IF(I$5&gt;N('Set-up and funding'!$B$26),'Set-up and funding'!$F$26,0)</f>
        <v>1575.92101200466</v>
      </c>
      <c r="J26" s="20" t="n">
        <f aca="false">IF(J$5&gt;N('Set-up and funding'!$B$25),'Set-up and funding'!$F$25,0)+IF(J$5&gt;N('Set-up and funding'!$B$26),'Set-up and funding'!$F$26,0)</f>
        <v>1575.92101200466</v>
      </c>
      <c r="K26" s="20" t="n">
        <f aca="false">IF(K$5&gt;N('Set-up and funding'!$B$25),'Set-up and funding'!$F$25,0)+IF(K$5&gt;N('Set-up and funding'!$B$26),'Set-up and funding'!$F$26,0)</f>
        <v>1575.92101200466</v>
      </c>
      <c r="L26" s="20" t="n">
        <f aca="false">IF(L$5&gt;N('Set-up and funding'!$B$25),'Set-up and funding'!$F$25,0)+IF(L$5&gt;N('Set-up and funding'!$B$26),'Set-up and funding'!$F$26,0)</f>
        <v>1575.92101200466</v>
      </c>
      <c r="M26" s="20" t="n">
        <f aca="false">IF(M$5&gt;N('Set-up and funding'!$B$25),'Set-up and funding'!$F$25,0)+IF(M$5&gt;N('Set-up and funding'!$B$26),'Set-up and funding'!$F$26,0)</f>
        <v>1575.92101200466</v>
      </c>
      <c r="N26" s="20" t="n">
        <f aca="false">IF(N$5&gt;N('Set-up and funding'!$B$25),'Set-up and funding'!$F$25,0)+IF(N$5&gt;N('Set-up and funding'!$B$26),'Set-up and funding'!$F$26,0)</f>
        <v>1575.92101200466</v>
      </c>
      <c r="O26" s="20" t="n">
        <f aca="false">IF(O$5&gt;N('Set-up and funding'!$B$25),'Set-up and funding'!$F$25,0)+IF(O$5&gt;N('Set-up and funding'!$B$26),'Set-up and funding'!$F$26,0)</f>
        <v>1575.92101200466</v>
      </c>
      <c r="P26" s="20" t="n">
        <f aca="false">IF(P$5&gt;N('Set-up and funding'!$B$25),'Set-up and funding'!$F$25,0)+IF(P$5&gt;N('Set-up and funding'!$B$26),'Set-up and funding'!$F$26,0)</f>
        <v>1575.92101200466</v>
      </c>
      <c r="Q26" s="20" t="n">
        <f aca="false">IF(Q$5&gt;N('Set-up and funding'!$B$25),'Set-up and funding'!$F$25,0)+IF(Q$5&gt;N('Set-up and funding'!$B$26),'Set-up and funding'!$F$26,0)</f>
        <v>1575.92101200466</v>
      </c>
      <c r="R26" s="20" t="n">
        <f aca="false">IF(R$5&gt;N('Set-up and funding'!$B$25),'Set-up and funding'!$F$25,0)+IF(R$5&gt;N('Set-up and funding'!$B$26),'Set-up and funding'!$F$26,0)</f>
        <v>1575.92101200466</v>
      </c>
      <c r="S26" s="20" t="n">
        <f aca="false">IF(S$5&gt;N('Set-up and funding'!$B$25),'Set-up and funding'!$F$25,0)+IF(S$5&gt;N('Set-up and funding'!$B$26),'Set-up and funding'!$F$26,0)</f>
        <v>1575.92101200466</v>
      </c>
      <c r="T26" s="20" t="n">
        <f aca="false">IF(T$5&gt;N('Set-up and funding'!$B$25),'Set-up and funding'!$F$25,0)+IF(T$5&gt;N('Set-up and funding'!$B$26),'Set-up and funding'!$F$26,0)</f>
        <v>1575.92101200466</v>
      </c>
      <c r="U26" s="20" t="n">
        <f aca="false">IF(U$5&gt;N('Set-up and funding'!$B$25),'Set-up and funding'!$F$25,0)+IF(U$5&gt;N('Set-up and funding'!$B$26),'Set-up and funding'!$F$26,0)</f>
        <v>1575.92101200466</v>
      </c>
      <c r="V26" s="20" t="n">
        <f aca="false">IF(V$5&gt;N('Set-up and funding'!$B$25),'Set-up and funding'!$F$25,0)+IF(V$5&gt;N('Set-up and funding'!$B$26),'Set-up and funding'!$F$26,0)</f>
        <v>1575.92101200466</v>
      </c>
      <c r="W26" s="20" t="n">
        <f aca="false">IF(W$5&gt;N('Set-up and funding'!$B$25),'Set-up and funding'!$F$25,0)+IF(W$5&gt;N('Set-up and funding'!$B$26),'Set-up and funding'!$F$26,0)</f>
        <v>1575.92101200466</v>
      </c>
      <c r="X26" s="20" t="n">
        <f aca="false">IF(X$5&gt;N('Set-up and funding'!$B$25),'Set-up and funding'!$F$25,0)+IF(X$5&gt;N('Set-up and funding'!$B$26),'Set-up and funding'!$F$26,0)</f>
        <v>1575.92101200466</v>
      </c>
      <c r="Y26" s="20" t="n">
        <f aca="false">IF(Y$5&gt;N('Set-up and funding'!$B$25),'Set-up and funding'!$F$25,0)+IF(Y$5&gt;N('Set-up and funding'!$B$26),'Set-up and funding'!$F$26,0)</f>
        <v>1575.92101200466</v>
      </c>
      <c r="Z26" s="20" t="n">
        <f aca="false">SUM(B26:Y26)</f>
        <v>36246.1832761071</v>
      </c>
    </row>
    <row r="27" customFormat="false" ht="15" hidden="false" customHeight="false" outlineLevel="0" collapsed="false">
      <c r="A27" s="23" t="s">
        <v>101</v>
      </c>
      <c r="B27" s="18" t="n">
        <v>4200</v>
      </c>
      <c r="C27" s="18" t="n">
        <v>4200</v>
      </c>
      <c r="D27" s="18" t="n">
        <v>4200</v>
      </c>
      <c r="E27" s="18" t="n">
        <v>4200</v>
      </c>
      <c r="F27" s="18" t="n">
        <v>4200</v>
      </c>
      <c r="G27" s="18" t="n">
        <v>4200</v>
      </c>
      <c r="H27" s="18" t="n">
        <v>4200</v>
      </c>
      <c r="I27" s="18" t="n">
        <v>4200</v>
      </c>
      <c r="J27" s="18" t="n">
        <v>4200</v>
      </c>
      <c r="K27" s="18" t="n">
        <v>4200</v>
      </c>
      <c r="L27" s="18" t="n">
        <v>4200</v>
      </c>
      <c r="M27" s="18" t="n">
        <v>4200</v>
      </c>
      <c r="N27" s="18" t="n">
        <v>4200</v>
      </c>
      <c r="O27" s="18" t="n">
        <v>4200</v>
      </c>
      <c r="P27" s="18" t="n">
        <v>4200</v>
      </c>
      <c r="Q27" s="18" t="n">
        <v>4200</v>
      </c>
      <c r="R27" s="18" t="n">
        <v>4200</v>
      </c>
      <c r="S27" s="18" t="n">
        <v>4200</v>
      </c>
      <c r="T27" s="18" t="n">
        <v>4200</v>
      </c>
      <c r="U27" s="18" t="n">
        <v>4200</v>
      </c>
      <c r="V27" s="18" t="n">
        <v>4200</v>
      </c>
      <c r="W27" s="18" t="n">
        <v>4200</v>
      </c>
      <c r="X27" s="18" t="n">
        <v>4200</v>
      </c>
      <c r="Y27" s="18" t="n">
        <v>4200</v>
      </c>
      <c r="Z27" s="20" t="n">
        <f aca="false">SUM(B27:Y27)</f>
        <v>100800</v>
      </c>
    </row>
    <row r="28" customFormat="false" ht="15" hidden="false" customHeight="false" outlineLevel="0" collapsed="false">
      <c r="A28" s="21" t="s">
        <v>102</v>
      </c>
      <c r="B28" s="22" t="n">
        <f aca="false">SUM(B17:B27)</f>
        <v>293100</v>
      </c>
      <c r="C28" s="22" t="n">
        <f aca="false">SUM(C17:C27)</f>
        <v>41775.9210120047</v>
      </c>
      <c r="D28" s="22" t="n">
        <f aca="false">SUM(D17:D27)</f>
        <v>8775.92101200466</v>
      </c>
      <c r="E28" s="22" t="n">
        <f aca="false">SUM(E17:E27)</f>
        <v>16855.9210120047</v>
      </c>
      <c r="F28" s="22" t="n">
        <f aca="false">SUM(F17:F27)</f>
        <v>8775.92101200466</v>
      </c>
      <c r="G28" s="22" t="n">
        <f aca="false">SUM(G17:G27)</f>
        <v>11175.9210120047</v>
      </c>
      <c r="H28" s="22" t="n">
        <f aca="false">SUM(H17:H27)</f>
        <v>36655.9210120047</v>
      </c>
      <c r="I28" s="22" t="n">
        <f aca="false">SUM(I17:I27)</f>
        <v>10695.9210120047</v>
      </c>
      <c r="J28" s="22" t="n">
        <f aca="false">SUM(J17:J27)</f>
        <v>11151.9210120047</v>
      </c>
      <c r="K28" s="22" t="n">
        <f aca="false">SUM(K17:K27)</f>
        <v>10575.9210120047</v>
      </c>
      <c r="L28" s="22" t="n">
        <f aca="false">SUM(L17:L27)</f>
        <v>10575.9210120047</v>
      </c>
      <c r="M28" s="22" t="n">
        <f aca="false">SUM(M17:M27)</f>
        <v>8775.92101200466</v>
      </c>
      <c r="N28" s="22" t="n">
        <f aca="false">SUM(N17:N27)</f>
        <v>38525.9210120047</v>
      </c>
      <c r="O28" s="22" t="n">
        <f aca="false">SUM(O17:O27)</f>
        <v>8775.92101200466</v>
      </c>
      <c r="P28" s="22" t="n">
        <f aca="false">SUM(P17:P27)</f>
        <v>8775.92101200466</v>
      </c>
      <c r="Q28" s="22" t="n">
        <f aca="false">SUM(Q17:Q27)</f>
        <v>17095.9210120047</v>
      </c>
      <c r="R28" s="22" t="n">
        <f aca="false">SUM(R17:R27)</f>
        <v>8775.92101200466</v>
      </c>
      <c r="S28" s="22" t="n">
        <f aca="false">SUM(S17:S27)</f>
        <v>11415.9210120047</v>
      </c>
      <c r="T28" s="22" t="n">
        <f aca="false">SUM(T17:T27)</f>
        <v>37645.9210120047</v>
      </c>
      <c r="U28" s="22" t="n">
        <f aca="false">SUM(U17:U27)</f>
        <v>10855.9210120047</v>
      </c>
      <c r="V28" s="22" t="n">
        <f aca="false">SUM(V17:V27)</f>
        <v>11175.9210120047</v>
      </c>
      <c r="W28" s="22" t="n">
        <f aca="false">SUM(W17:W27)</f>
        <v>10575.9210120047</v>
      </c>
      <c r="X28" s="22" t="n">
        <f aca="false">SUM(X17:X27)</f>
        <v>10575.9210120047</v>
      </c>
      <c r="Y28" s="22" t="n">
        <f aca="false">SUM(Y17:Y27)</f>
        <v>8775.92101200466</v>
      </c>
      <c r="Z28" s="22" t="n">
        <f aca="false">SUM(Z17:Z27)</f>
        <v>651862.183276107</v>
      </c>
    </row>
    <row r="30" customFormat="false" ht="15" hidden="false" customHeight="false" outlineLevel="0" collapsed="false">
      <c r="A30" s="11" t="s">
        <v>103</v>
      </c>
      <c r="B30" s="28" t="n">
        <f aca="false">B14-B28</f>
        <v>41400</v>
      </c>
      <c r="C30" s="28" t="n">
        <f aca="false">C14-C28</f>
        <v>-37275.9210120047</v>
      </c>
      <c r="D30" s="28" t="n">
        <f aca="false">D14-D28</f>
        <v>20624.0789879953</v>
      </c>
      <c r="E30" s="28" t="n">
        <f aca="false">E14-E28</f>
        <v>1144.07898799534</v>
      </c>
      <c r="F30" s="28" t="n">
        <f aca="false">F14-F28</f>
        <v>-4275.92101200466</v>
      </c>
      <c r="G30" s="28" t="n">
        <f aca="false">G14-G28</f>
        <v>23324.0789879953</v>
      </c>
      <c r="H30" s="28" t="n">
        <f aca="false">H14-H28</f>
        <v>3844.07898799534</v>
      </c>
      <c r="I30" s="28" t="n">
        <f aca="false">I14-I28</f>
        <v>17804.0789879953</v>
      </c>
      <c r="J30" s="28" t="n">
        <f aca="false">J14-J28</f>
        <v>548.078987995345</v>
      </c>
      <c r="K30" s="28" t="n">
        <f aca="false">K14-K28</f>
        <v>-6075.92101200466</v>
      </c>
      <c r="L30" s="28" t="n">
        <f aca="false">L14-L28</f>
        <v>-6075.92101200466</v>
      </c>
      <c r="M30" s="28" t="n">
        <f aca="false">M14-M28</f>
        <v>-4275.92101200466</v>
      </c>
      <c r="N30" s="28" t="n">
        <f aca="false">N14-N28</f>
        <v>-34025.9210120047</v>
      </c>
      <c r="O30" s="28" t="n">
        <f aca="false">O14-O28</f>
        <v>-4275.92101200466</v>
      </c>
      <c r="P30" s="28" t="n">
        <f aca="false">P14-P28</f>
        <v>-4275.92101200466</v>
      </c>
      <c r="Q30" s="28" t="n">
        <f aca="false">Q14-Q28</f>
        <v>1404.07898799534</v>
      </c>
      <c r="R30" s="28" t="n">
        <f aca="false">R14-R28</f>
        <v>-4275.92101200466</v>
      </c>
      <c r="S30" s="28" t="n">
        <f aca="false">S14-S28</f>
        <v>26084.0789879953</v>
      </c>
      <c r="T30" s="28" t="n">
        <f aca="false">T14-T28</f>
        <v>5854.07898799534</v>
      </c>
      <c r="U30" s="28" t="n">
        <f aca="false">U14-U28</f>
        <v>19644.0789879953</v>
      </c>
      <c r="V30" s="28" t="n">
        <f aca="false">V14-V28</f>
        <v>824.078987995345</v>
      </c>
      <c r="W30" s="28" t="n">
        <f aca="false">W14-W28</f>
        <v>-6075.92101200466</v>
      </c>
      <c r="X30" s="28" t="n">
        <f aca="false">X14-X28</f>
        <v>-6075.92101200466</v>
      </c>
      <c r="Y30" s="28" t="n">
        <f aca="false">Y14-Y28</f>
        <v>-4275.92101200466</v>
      </c>
      <c r="Z30" s="28" t="n">
        <f aca="false">Z14-Z28</f>
        <v>41237.8167238929</v>
      </c>
    </row>
    <row r="31" customFormat="false" ht="15" hidden="false" customHeight="false" outlineLevel="0" collapsed="false">
      <c r="A31" s="23" t="s">
        <v>104</v>
      </c>
      <c r="B31" s="34" t="n">
        <f aca="false">0</f>
        <v>0</v>
      </c>
      <c r="C31" s="34" t="n">
        <f aca="false">B32</f>
        <v>41400</v>
      </c>
      <c r="D31" s="34" t="n">
        <f aca="false">C32</f>
        <v>4124.07898799534</v>
      </c>
      <c r="E31" s="34" t="n">
        <f aca="false">D32</f>
        <v>24748.1579759907</v>
      </c>
      <c r="F31" s="34" t="n">
        <f aca="false">E32</f>
        <v>25892.236963986</v>
      </c>
      <c r="G31" s="34" t="n">
        <f aca="false">F32</f>
        <v>21616.3159519814</v>
      </c>
      <c r="H31" s="34" t="n">
        <f aca="false">G32</f>
        <v>44940.3949399767</v>
      </c>
      <c r="I31" s="34" t="n">
        <f aca="false">H32</f>
        <v>48784.4739279721</v>
      </c>
      <c r="J31" s="34" t="n">
        <f aca="false">I32</f>
        <v>66588.5529159674</v>
      </c>
      <c r="K31" s="34" t="n">
        <f aca="false">J32</f>
        <v>67136.6319039628</v>
      </c>
      <c r="L31" s="34" t="n">
        <f aca="false">K32</f>
        <v>61060.7108919581</v>
      </c>
      <c r="M31" s="34" t="n">
        <f aca="false">L32</f>
        <v>54984.7898799534</v>
      </c>
      <c r="N31" s="34" t="n">
        <f aca="false">M32</f>
        <v>50708.8688679488</v>
      </c>
      <c r="O31" s="34" t="n">
        <f aca="false">N32</f>
        <v>16682.9478559441</v>
      </c>
      <c r="P31" s="34" t="n">
        <f aca="false">O32</f>
        <v>12407.0268439395</v>
      </c>
      <c r="Q31" s="34" t="n">
        <f aca="false">P32</f>
        <v>8131.10583193482</v>
      </c>
      <c r="R31" s="34" t="n">
        <f aca="false">Q32</f>
        <v>9535.18481993017</v>
      </c>
      <c r="S31" s="34" t="n">
        <f aca="false">R32</f>
        <v>5259.26380792551</v>
      </c>
      <c r="T31" s="34" t="n">
        <f aca="false">S32</f>
        <v>31343.3427959209</v>
      </c>
      <c r="U31" s="34" t="n">
        <f aca="false">T32</f>
        <v>37197.4217839162</v>
      </c>
      <c r="V31" s="34" t="n">
        <f aca="false">U32</f>
        <v>56841.5007719115</v>
      </c>
      <c r="W31" s="34" t="n">
        <f aca="false">V32</f>
        <v>57665.5797599069</v>
      </c>
      <c r="X31" s="34" t="n">
        <f aca="false">W32</f>
        <v>51589.6587479022</v>
      </c>
      <c r="Y31" s="34" t="n">
        <f aca="false">X32</f>
        <v>45513.7377358976</v>
      </c>
    </row>
    <row r="32" customFormat="false" ht="15" hidden="false" customHeight="false" outlineLevel="0" collapsed="false">
      <c r="A32" s="21" t="s">
        <v>105</v>
      </c>
      <c r="B32" s="35" t="n">
        <f aca="false">B31+B30</f>
        <v>41400</v>
      </c>
      <c r="C32" s="35" t="n">
        <f aca="false">C31+C30</f>
        <v>4124.07898799534</v>
      </c>
      <c r="D32" s="35" t="n">
        <f aca="false">D31+D30</f>
        <v>24748.1579759907</v>
      </c>
      <c r="E32" s="35" t="n">
        <f aca="false">E31+E30</f>
        <v>25892.236963986</v>
      </c>
      <c r="F32" s="35" t="n">
        <f aca="false">F31+F30</f>
        <v>21616.3159519814</v>
      </c>
      <c r="G32" s="35" t="n">
        <f aca="false">G31+G30</f>
        <v>44940.3949399767</v>
      </c>
      <c r="H32" s="35" t="n">
        <f aca="false">H31+H30</f>
        <v>48784.4739279721</v>
      </c>
      <c r="I32" s="35" t="n">
        <f aca="false">I31+I30</f>
        <v>66588.5529159674</v>
      </c>
      <c r="J32" s="35" t="n">
        <f aca="false">J31+J30</f>
        <v>67136.6319039628</v>
      </c>
      <c r="K32" s="35" t="n">
        <f aca="false">K31+K30</f>
        <v>61060.7108919581</v>
      </c>
      <c r="L32" s="35" t="n">
        <f aca="false">L31+L30</f>
        <v>54984.7898799534</v>
      </c>
      <c r="M32" s="35" t="n">
        <f aca="false">M31+M30</f>
        <v>50708.8688679488</v>
      </c>
      <c r="N32" s="35" t="n">
        <f aca="false">N31+N30</f>
        <v>16682.9478559441</v>
      </c>
      <c r="O32" s="35" t="n">
        <f aca="false">O31+O30</f>
        <v>12407.0268439395</v>
      </c>
      <c r="P32" s="35" t="n">
        <f aca="false">P31+P30</f>
        <v>8131.10583193482</v>
      </c>
      <c r="Q32" s="35" t="n">
        <f aca="false">Q31+Q30</f>
        <v>9535.18481993017</v>
      </c>
      <c r="R32" s="35" t="n">
        <f aca="false">R31+R30</f>
        <v>5259.26380792551</v>
      </c>
      <c r="S32" s="35" t="n">
        <f aca="false">S31+S30</f>
        <v>31343.3427959209</v>
      </c>
      <c r="T32" s="35" t="n">
        <f aca="false">T31+T30</f>
        <v>37197.4217839162</v>
      </c>
      <c r="U32" s="35" t="n">
        <f aca="false">U31+U30</f>
        <v>56841.5007719115</v>
      </c>
      <c r="V32" s="35" t="n">
        <f aca="false">V31+V30</f>
        <v>57665.5797599069</v>
      </c>
      <c r="W32" s="35" t="n">
        <f aca="false">W31+W30</f>
        <v>51589.6587479022</v>
      </c>
      <c r="X32" s="35" t="n">
        <f aca="false">X31+X30</f>
        <v>45513.7377358976</v>
      </c>
      <c r="Y32" s="35" t="n">
        <f aca="false">Y31+Y30</f>
        <v>41237.8167238929</v>
      </c>
    </row>
    <row r="34" customFormat="false" ht="15" hidden="false" customHeight="false" outlineLevel="0" collapsed="false">
      <c r="A34" s="11" t="s">
        <v>106</v>
      </c>
      <c r="B34" s="36" t="n">
        <f aca="false">MIN(B32:Y32)</f>
        <v>4124.07898799534</v>
      </c>
    </row>
    <row r="35" customFormat="false" ht="15" hidden="false" customHeight="false" outlineLevel="0" collapsed="false">
      <c r="A35" s="11" t="s">
        <v>107</v>
      </c>
      <c r="B35" s="37" t="n">
        <f aca="false">INDEX(B6:Y6,MATCH(B34,B32:Y32,0))</f>
        <v>46600</v>
      </c>
      <c r="C35" s="38" t="str">
        <f aca="false">"Month "&amp;INDEX(B5:Y5,MATCH(B34,B32:Y32,0))</f>
        <v>Month 2</v>
      </c>
    </row>
    <row r="36" customFormat="false" ht="15" hidden="false" customHeight="false" outlineLevel="0" collapsed="false">
      <c r="A36" s="11" t="s">
        <v>108</v>
      </c>
      <c r="B36" s="36" t="n">
        <f aca="false">Y32</f>
        <v>41237.8167238929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2026-10-26T07:21:26Z</dcterms:created>
  <dc:creator>openpyxl</dc:creator>
  <dc:description/>
  <dc:language>en-US</dc:language>
  <cp:lastModifiedBy/>
  <dcterms:modified xsi:type="dcterms:W3CDTF">2026-10-26T07:21:26Z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